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25"/>
  <workbookPr filterPrivacy="1" showInkAnnotation="0" codeName="ThisWorkbook" autoCompressPictures="0"/>
  <xr:revisionPtr revIDLastSave="0" documentId="13_ncr:1_{076CC9FE-7D34-4C4E-87BF-80BAE9F1071B}" xr6:coauthVersionLast="47" xr6:coauthVersionMax="47" xr10:uidLastSave="{00000000-0000-0000-0000-000000000000}"/>
  <bookViews>
    <workbookView xWindow="3740" yWindow="660" windowWidth="26800" windowHeight="16860" tabRatio="896" xr2:uid="{00000000-000D-0000-FFFF-FFFF00000000}"/>
  </bookViews>
  <sheets>
    <sheet name="FFH - 26" sheetId="45" r:id="rId1"/>
    <sheet name="Size 2025YE" sheetId="54" r:id="rId2"/>
    <sheet name="Moves" sheetId="16" r:id="rId3"/>
    <sheet name="Earn Est" sheetId="10" r:id="rId4"/>
    <sheet name="Premiums" sheetId="9" r:id="rId5"/>
    <sheet name="Underwriting" sheetId="51" r:id="rId6"/>
    <sheet name="Interest" sheetId="15" r:id="rId7"/>
    <sheet name="Associates" sheetId="21" r:id="rId8"/>
    <sheet name="Consol" sheetId="43" r:id="rId9"/>
    <sheet name="Investments" sheetId="32" r:id="rId10"/>
    <sheet name="IFRS 17" sheetId="37" r:id="rId11"/>
    <sheet name="Shares" sheetId="28" r:id="rId12"/>
    <sheet name="FV CV" sheetId="48" r:id="rId13"/>
    <sheet name="Float" sheetId="34" r:id="rId14"/>
    <sheet name="13yr View" sheetId="26" r:id="rId15"/>
    <sheet name="Odyssey Filing" sheetId="49" r:id="rId16"/>
  </sheets>
  <definedNames>
    <definedName name="_xlnm.Print_Area" localSheetId="14">'13yr View'!#REF!</definedName>
    <definedName name="_xlnm.Print_Area" localSheetId="7">Associates!$B$26:$T$72</definedName>
    <definedName name="_xlnm.Print_Area" localSheetId="3">'Earn Est'!$B$7:$AM$43</definedName>
    <definedName name="_xlnm.Print_Area" localSheetId="0">'FFH - 26'!$E$2:$AP$133</definedName>
    <definedName name="_xlnm.Print_Area" localSheetId="13">Float!#REF!</definedName>
    <definedName name="_xlnm.Print_Area" localSheetId="12">'FV CV'!$B$5:$AG$59</definedName>
    <definedName name="_xlnm.Print_Area" localSheetId="6">Interest!#REF!</definedName>
    <definedName name="_xlnm.Print_Area" localSheetId="9">Investments!$B$69:$Q$98</definedName>
    <definedName name="_xlnm.Print_Area" localSheetId="2">Moves!$D$474:$M$531</definedName>
    <definedName name="_xlnm.Print_Area" localSheetId="4">Premiums!#REF!</definedName>
    <definedName name="_xlnm.Print_Area" localSheetId="11">Shares!$AG$5:$AT$18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58" i="45" l="1"/>
  <c r="P137" i="48"/>
  <c r="P146" i="48"/>
  <c r="D180" i="48" s="1"/>
  <c r="Q143" i="48"/>
  <c r="Q142" i="48"/>
  <c r="Q141" i="48"/>
  <c r="Q140" i="48"/>
  <c r="Q136" i="48"/>
  <c r="Q135" i="48"/>
  <c r="Q134" i="48"/>
  <c r="L144" i="48"/>
  <c r="K144" i="48"/>
  <c r="M143" i="48"/>
  <c r="M142" i="48"/>
  <c r="M141" i="48"/>
  <c r="M140" i="48"/>
  <c r="L138" i="48"/>
  <c r="K138" i="48"/>
  <c r="M137" i="48"/>
  <c r="M136" i="48"/>
  <c r="M135" i="48"/>
  <c r="M134" i="48"/>
  <c r="H144" i="48"/>
  <c r="G144" i="48"/>
  <c r="I143" i="48"/>
  <c r="I142" i="48"/>
  <c r="I141" i="48"/>
  <c r="I140" i="48"/>
  <c r="H138" i="48"/>
  <c r="G138" i="48"/>
  <c r="I137" i="48"/>
  <c r="I136" i="48"/>
  <c r="I135" i="48"/>
  <c r="I134" i="48"/>
  <c r="D144" i="48"/>
  <c r="E143" i="48"/>
  <c r="C144" i="48"/>
  <c r="E142" i="48"/>
  <c r="E141" i="48"/>
  <c r="E140" i="48"/>
  <c r="D138" i="48"/>
  <c r="C138" i="48"/>
  <c r="E137" i="48"/>
  <c r="E136" i="48"/>
  <c r="E135" i="48"/>
  <c r="E134" i="48"/>
  <c r="L125" i="48"/>
  <c r="K125" i="48"/>
  <c r="M123" i="48"/>
  <c r="M122" i="48"/>
  <c r="M121" i="48"/>
  <c r="L119" i="48"/>
  <c r="K119" i="48"/>
  <c r="M118" i="48"/>
  <c r="M117" i="48"/>
  <c r="M116" i="48"/>
  <c r="M115" i="48"/>
  <c r="H125" i="48"/>
  <c r="G125" i="48"/>
  <c r="I125" i="48" s="1"/>
  <c r="I123" i="48"/>
  <c r="I122" i="48"/>
  <c r="I121" i="48"/>
  <c r="H119" i="48"/>
  <c r="G119" i="48"/>
  <c r="I118" i="48"/>
  <c r="I117" i="48"/>
  <c r="I116" i="48"/>
  <c r="I115" i="48"/>
  <c r="D125" i="48"/>
  <c r="C125" i="48"/>
  <c r="D119" i="48"/>
  <c r="C119" i="48"/>
  <c r="E121" i="48"/>
  <c r="E122" i="48"/>
  <c r="E123" i="48"/>
  <c r="E116" i="48"/>
  <c r="E117" i="48"/>
  <c r="E118" i="48"/>
  <c r="E115" i="48"/>
  <c r="D46" i="48"/>
  <c r="C46" i="48"/>
  <c r="E46" i="48" s="1"/>
  <c r="E31" i="48"/>
  <c r="D28" i="48"/>
  <c r="D49" i="48" s="1"/>
  <c r="D86" i="48" s="1"/>
  <c r="C28" i="48"/>
  <c r="E45" i="48"/>
  <c r="E40" i="48"/>
  <c r="E39" i="48"/>
  <c r="E37" i="48"/>
  <c r="E36" i="48"/>
  <c r="E35" i="48"/>
  <c r="E33" i="48"/>
  <c r="E32" i="48"/>
  <c r="E24" i="48"/>
  <c r="E23" i="48"/>
  <c r="E19" i="48"/>
  <c r="E18" i="48"/>
  <c r="E17" i="48"/>
  <c r="E16" i="48"/>
  <c r="E15" i="48"/>
  <c r="E14" i="48"/>
  <c r="D85" i="48"/>
  <c r="C85" i="48"/>
  <c r="I49" i="48"/>
  <c r="H27" i="48"/>
  <c r="G27" i="48"/>
  <c r="I27" i="48" s="1"/>
  <c r="I18" i="48"/>
  <c r="I45" i="48"/>
  <c r="I40" i="48"/>
  <c r="I39" i="48"/>
  <c r="I37" i="48"/>
  <c r="I36" i="48"/>
  <c r="I35" i="48"/>
  <c r="I33" i="48"/>
  <c r="I32" i="48"/>
  <c r="I24" i="48"/>
  <c r="I23" i="48"/>
  <c r="I19" i="48"/>
  <c r="I17" i="48"/>
  <c r="I16" i="48"/>
  <c r="I15" i="48"/>
  <c r="I14" i="48"/>
  <c r="BT41" i="48"/>
  <c r="BU41" i="48" s="1"/>
  <c r="BT40" i="48"/>
  <c r="BS42" i="48"/>
  <c r="BR42" i="48"/>
  <c r="BQ42" i="48"/>
  <c r="BP42" i="48"/>
  <c r="BO42" i="48"/>
  <c r="BN42" i="48"/>
  <c r="BM42" i="48"/>
  <c r="BS10" i="48"/>
  <c r="BR10" i="48"/>
  <c r="BQ10" i="48"/>
  <c r="BP10" i="48"/>
  <c r="BO10" i="48"/>
  <c r="BN10" i="48"/>
  <c r="BM10" i="48"/>
  <c r="X55" i="10"/>
  <c r="J683" i="16"/>
  <c r="K682" i="16"/>
  <c r="Q31" i="45"/>
  <c r="J31" i="45" s="1"/>
  <c r="P31" i="45"/>
  <c r="I31" i="45" s="1"/>
  <c r="J684" i="16"/>
  <c r="J685" i="16"/>
  <c r="K681" i="16"/>
  <c r="S12" i="45"/>
  <c r="CA8" i="48"/>
  <c r="CB8" i="48" s="1"/>
  <c r="BM4" i="48"/>
  <c r="BN4" i="48"/>
  <c r="BO4" i="48"/>
  <c r="BP4" i="48"/>
  <c r="BQ4" i="48"/>
  <c r="E8" i="28"/>
  <c r="K76" i="28"/>
  <c r="I76" i="28"/>
  <c r="I75" i="28"/>
  <c r="Y168" i="28"/>
  <c r="L168" i="28"/>
  <c r="O168" i="28" s="1"/>
  <c r="V168" i="28"/>
  <c r="AM27" i="10"/>
  <c r="AG45" i="10"/>
  <c r="AG15" i="10"/>
  <c r="D103" i="45"/>
  <c r="D102" i="45"/>
  <c r="D84" i="45"/>
  <c r="D79" i="45"/>
  <c r="D77" i="45"/>
  <c r="D69" i="45"/>
  <c r="D60" i="45"/>
  <c r="D42" i="45"/>
  <c r="D23" i="45"/>
  <c r="D14" i="45"/>
  <c r="C103" i="45"/>
  <c r="C102" i="45"/>
  <c r="C84" i="45"/>
  <c r="C79" i="45"/>
  <c r="C77" i="45"/>
  <c r="C69" i="45"/>
  <c r="C60" i="45"/>
  <c r="C42" i="45"/>
  <c r="C23" i="45"/>
  <c r="C14" i="45"/>
  <c r="Q10" i="45"/>
  <c r="J10" i="45" s="1"/>
  <c r="P10" i="45"/>
  <c r="I10" i="45" s="1"/>
  <c r="U52" i="45"/>
  <c r="V52" i="45"/>
  <c r="U163" i="28"/>
  <c r="U173" i="28" s="1"/>
  <c r="T163" i="28"/>
  <c r="T173" i="28" s="1"/>
  <c r="V170" i="28"/>
  <c r="X167" i="28"/>
  <c r="P58" i="45"/>
  <c r="I58" i="45" s="1"/>
  <c r="Q58" i="45"/>
  <c r="J58" i="45" s="1"/>
  <c r="P59" i="45"/>
  <c r="I59" i="45" s="1"/>
  <c r="Q59" i="45"/>
  <c r="J59" i="45" s="1"/>
  <c r="M84" i="45"/>
  <c r="Q84" i="45"/>
  <c r="P84" i="45"/>
  <c r="I6" i="45"/>
  <c r="Q60" i="45"/>
  <c r="P60" i="45"/>
  <c r="J43" i="45"/>
  <c r="Q42" i="45"/>
  <c r="P42" i="45"/>
  <c r="M80" i="45"/>
  <c r="M82" i="45"/>
  <c r="M76" i="45"/>
  <c r="J650" i="16"/>
  <c r="K649" i="16"/>
  <c r="K680" i="16"/>
  <c r="J679" i="16"/>
  <c r="J678" i="16"/>
  <c r="AO27" i="10"/>
  <c r="AO26" i="10" s="1"/>
  <c r="AO33" i="10"/>
  <c r="AO36" i="10" s="1"/>
  <c r="L19" i="9"/>
  <c r="L18" i="9"/>
  <c r="J48" i="10"/>
  <c r="O48" i="10"/>
  <c r="T48" i="10"/>
  <c r="Y48" i="10"/>
  <c r="AD48" i="10"/>
  <c r="AX95" i="10"/>
  <c r="AY95" i="10"/>
  <c r="Q85" i="32"/>
  <c r="Q82" i="32"/>
  <c r="Q75" i="32"/>
  <c r="AL3" i="10"/>
  <c r="AM3" i="10" s="1"/>
  <c r="AL5" i="10"/>
  <c r="AL4" i="10" s="1"/>
  <c r="N83" i="32"/>
  <c r="N82" i="32"/>
  <c r="N41" i="32"/>
  <c r="AJ54" i="10"/>
  <c r="AJ55" i="10" s="1"/>
  <c r="AJ56" i="10" s="1"/>
  <c r="AJ15" i="10"/>
  <c r="AJ16" i="10" s="1"/>
  <c r="H19" i="9"/>
  <c r="I17" i="9"/>
  <c r="I16" i="9"/>
  <c r="L17" i="9"/>
  <c r="D17" i="9"/>
  <c r="D16" i="9"/>
  <c r="D42" i="10"/>
  <c r="AE14" i="10"/>
  <c r="P152" i="28"/>
  <c r="L150" i="28"/>
  <c r="O150" i="28" s="1"/>
  <c r="Q150" i="28" s="1"/>
  <c r="L151" i="28"/>
  <c r="O151" i="28" s="1"/>
  <c r="Q151" i="28" s="1"/>
  <c r="L152" i="28"/>
  <c r="O152" i="28" s="1"/>
  <c r="L153" i="28"/>
  <c r="O153" i="28" s="1"/>
  <c r="Q153" i="28" s="1"/>
  <c r="L154" i="28"/>
  <c r="O154" i="28" s="1"/>
  <c r="Q154" i="28" s="1"/>
  <c r="I92" i="28"/>
  <c r="I108" i="28"/>
  <c r="J108" i="28" s="1"/>
  <c r="K673" i="16"/>
  <c r="K686" i="16"/>
  <c r="K674" i="16"/>
  <c r="L55" i="51"/>
  <c r="L57" i="51"/>
  <c r="L54" i="51"/>
  <c r="L59" i="51"/>
  <c r="K59" i="51"/>
  <c r="K57" i="51"/>
  <c r="K55" i="51"/>
  <c r="K54" i="51"/>
  <c r="E57" i="51"/>
  <c r="E55" i="51"/>
  <c r="G55" i="51"/>
  <c r="H55" i="51"/>
  <c r="I55" i="51"/>
  <c r="J55" i="51"/>
  <c r="F55" i="51"/>
  <c r="T19" i="34"/>
  <c r="I57" i="51"/>
  <c r="H57" i="51"/>
  <c r="G57" i="51"/>
  <c r="F57" i="51"/>
  <c r="H56" i="51"/>
  <c r="G56" i="51"/>
  <c r="F56" i="51"/>
  <c r="H698" i="16"/>
  <c r="G698" i="16"/>
  <c r="Q137" i="48" l="1"/>
  <c r="Q144" i="48"/>
  <c r="H127" i="48"/>
  <c r="D175" i="48" s="1"/>
  <c r="O146" i="48"/>
  <c r="Q138" i="48"/>
  <c r="M144" i="48"/>
  <c r="L146" i="48"/>
  <c r="D179" i="48" s="1"/>
  <c r="K146" i="48"/>
  <c r="M138" i="48"/>
  <c r="I144" i="48"/>
  <c r="H146" i="48"/>
  <c r="D178" i="48" s="1"/>
  <c r="G146" i="48"/>
  <c r="I138" i="48"/>
  <c r="E144" i="48"/>
  <c r="D146" i="48"/>
  <c r="D177" i="48" s="1"/>
  <c r="C146" i="48"/>
  <c r="E138" i="48"/>
  <c r="M125" i="48"/>
  <c r="L127" i="48"/>
  <c r="D176" i="48" s="1"/>
  <c r="M119" i="48"/>
  <c r="K127" i="48"/>
  <c r="E125" i="48"/>
  <c r="D127" i="48"/>
  <c r="D174" i="48" s="1"/>
  <c r="C127" i="48"/>
  <c r="C174" i="48" s="1"/>
  <c r="E174" i="48" s="1"/>
  <c r="E119" i="48"/>
  <c r="I119" i="48"/>
  <c r="G127" i="48"/>
  <c r="BN27" i="48"/>
  <c r="C49" i="48"/>
  <c r="C86" i="48" s="1"/>
  <c r="E28" i="48"/>
  <c r="E49" i="48"/>
  <c r="E50" i="48" s="1"/>
  <c r="E51" i="48" s="1"/>
  <c r="E27" i="48"/>
  <c r="BT42" i="48"/>
  <c r="BT45" i="48" s="1"/>
  <c r="BT48" i="48"/>
  <c r="BU40" i="48"/>
  <c r="BR12" i="48"/>
  <c r="BR13" i="48" s="1"/>
  <c r="BR14" i="48" s="1"/>
  <c r="BR17" i="48" s="1"/>
  <c r="BQ12" i="48"/>
  <c r="BP12" i="48"/>
  <c r="BP13" i="48" s="1"/>
  <c r="BP14" i="48" s="1"/>
  <c r="BP17" i="48" s="1"/>
  <c r="BO12" i="48"/>
  <c r="BO13" i="48" s="1"/>
  <c r="BO14" i="48" s="1"/>
  <c r="BO17" i="48" s="1"/>
  <c r="BN12" i="48"/>
  <c r="BQ24" i="48"/>
  <c r="BQ13" i="48"/>
  <c r="BQ14" i="48" s="1"/>
  <c r="BQ17" i="48" s="1"/>
  <c r="BS12" i="48"/>
  <c r="BS13" i="48" s="1"/>
  <c r="BS14" i="48" s="1"/>
  <c r="BS17" i="48" s="1"/>
  <c r="CA10" i="48"/>
  <c r="K31" i="45"/>
  <c r="L31" i="45" s="1"/>
  <c r="K75" i="28"/>
  <c r="J75" i="28"/>
  <c r="Q152" i="28"/>
  <c r="AG24" i="10"/>
  <c r="AG25" i="10" s="1"/>
  <c r="AG16" i="10"/>
  <c r="K10" i="45"/>
  <c r="L10" i="45" s="1"/>
  <c r="V173" i="28"/>
  <c r="J60" i="45"/>
  <c r="I60" i="45"/>
  <c r="J42" i="45"/>
  <c r="I42" i="45"/>
  <c r="M19" i="9"/>
  <c r="Q78" i="32"/>
  <c r="AJ45" i="10"/>
  <c r="AJ24" i="10"/>
  <c r="J698" i="16"/>
  <c r="K698" i="16"/>
  <c r="D73" i="28"/>
  <c r="I74" i="28"/>
  <c r="J636" i="16"/>
  <c r="J626" i="16"/>
  <c r="M38" i="54"/>
  <c r="E82" i="54"/>
  <c r="M13" i="54"/>
  <c r="M20" i="54"/>
  <c r="M26" i="54"/>
  <c r="M28" i="54"/>
  <c r="M9" i="54"/>
  <c r="E12" i="54"/>
  <c r="E41" i="54" s="1"/>
  <c r="F28" i="54" s="1"/>
  <c r="U8" i="15"/>
  <c r="U9" i="15"/>
  <c r="U10" i="15"/>
  <c r="U11" i="15"/>
  <c r="U7" i="15"/>
  <c r="S12" i="15"/>
  <c r="S13" i="15" s="1"/>
  <c r="D74" i="9"/>
  <c r="D75" i="9" s="1"/>
  <c r="E68" i="9"/>
  <c r="E69" i="9"/>
  <c r="E70" i="9"/>
  <c r="E71" i="9"/>
  <c r="E72" i="9"/>
  <c r="E73" i="9"/>
  <c r="E67" i="9"/>
  <c r="E52" i="9"/>
  <c r="D52" i="9"/>
  <c r="E51" i="9"/>
  <c r="C57" i="9"/>
  <c r="E57" i="9" s="1"/>
  <c r="E56" i="9"/>
  <c r="E55" i="9"/>
  <c r="D55" i="9"/>
  <c r="E54" i="9"/>
  <c r="D54" i="9"/>
  <c r="E53" i="9"/>
  <c r="D53" i="9"/>
  <c r="K648" i="16"/>
  <c r="R107" i="28"/>
  <c r="R108" i="28" s="1"/>
  <c r="R106" i="28"/>
  <c r="S106" i="28" s="1"/>
  <c r="K653" i="16"/>
  <c r="F33" i="43"/>
  <c r="G33" i="43" s="1"/>
  <c r="F34" i="43"/>
  <c r="G34" i="43" s="1"/>
  <c r="F35" i="43"/>
  <c r="G35" i="43" s="1"/>
  <c r="F32" i="43"/>
  <c r="G32" i="43" s="1"/>
  <c r="K639" i="16"/>
  <c r="K640" i="16"/>
  <c r="J637" i="16"/>
  <c r="K638" i="16"/>
  <c r="T56" i="32"/>
  <c r="U56" i="32" s="1"/>
  <c r="S55" i="32"/>
  <c r="S53" i="32"/>
  <c r="U54" i="32" s="1"/>
  <c r="F11" i="32"/>
  <c r="G11" i="32"/>
  <c r="H11" i="32"/>
  <c r="E11" i="32"/>
  <c r="F31" i="32"/>
  <c r="G31" i="32"/>
  <c r="H31" i="32"/>
  <c r="E31" i="32"/>
  <c r="I30" i="32"/>
  <c r="I29" i="32"/>
  <c r="I28" i="32"/>
  <c r="I27" i="32"/>
  <c r="I26" i="32"/>
  <c r="I7" i="32"/>
  <c r="I8" i="32"/>
  <c r="I9" i="32"/>
  <c r="I10" i="32"/>
  <c r="I6" i="32"/>
  <c r="K59" i="32"/>
  <c r="I59" i="32"/>
  <c r="H39" i="32"/>
  <c r="G39" i="32"/>
  <c r="F39" i="32"/>
  <c r="E39" i="32"/>
  <c r="H19" i="32"/>
  <c r="G19" i="32"/>
  <c r="F19" i="32"/>
  <c r="E19" i="32"/>
  <c r="K56" i="32"/>
  <c r="I56" i="32"/>
  <c r="H36" i="32"/>
  <c r="G36" i="32"/>
  <c r="F36" i="32"/>
  <c r="G37" i="32" s="1"/>
  <c r="E36" i="32"/>
  <c r="H16" i="32"/>
  <c r="G16" i="32"/>
  <c r="F16" i="32"/>
  <c r="E16" i="32"/>
  <c r="D16" i="32"/>
  <c r="K51" i="32"/>
  <c r="L47" i="32" s="1"/>
  <c r="I51" i="32"/>
  <c r="J47" i="32" s="1"/>
  <c r="D10" i="32"/>
  <c r="D9" i="32"/>
  <c r="M43" i="9"/>
  <c r="I43" i="9"/>
  <c r="E43" i="9"/>
  <c r="D43" i="9"/>
  <c r="M42" i="9"/>
  <c r="E42" i="9"/>
  <c r="H39" i="9"/>
  <c r="L39" i="9" s="1"/>
  <c r="M39" i="9" s="1"/>
  <c r="C39" i="9"/>
  <c r="C40" i="9" s="1"/>
  <c r="E40" i="9" s="1"/>
  <c r="M38" i="9"/>
  <c r="E38" i="9"/>
  <c r="M37" i="9"/>
  <c r="I37" i="9"/>
  <c r="E37" i="9"/>
  <c r="D37" i="9"/>
  <c r="M36" i="9"/>
  <c r="I36" i="9"/>
  <c r="E36" i="9"/>
  <c r="D36" i="9"/>
  <c r="M35" i="9"/>
  <c r="I35" i="9"/>
  <c r="E35" i="9"/>
  <c r="D35" i="9"/>
  <c r="M34" i="9"/>
  <c r="I34" i="9"/>
  <c r="E34" i="9"/>
  <c r="D34" i="9"/>
  <c r="M33" i="9"/>
  <c r="I33" i="9"/>
  <c r="E33" i="9"/>
  <c r="D33" i="9"/>
  <c r="M32" i="9"/>
  <c r="I32" i="9"/>
  <c r="E32" i="9"/>
  <c r="D32" i="9"/>
  <c r="M31" i="9"/>
  <c r="I31" i="9"/>
  <c r="E31" i="9"/>
  <c r="D31" i="9"/>
  <c r="M30" i="9"/>
  <c r="I30" i="9"/>
  <c r="E30" i="9"/>
  <c r="D30" i="9"/>
  <c r="B80" i="9"/>
  <c r="C80" i="9"/>
  <c r="D80" i="9" s="1"/>
  <c r="BB80" i="10"/>
  <c r="BB81" i="10"/>
  <c r="BB82" i="10"/>
  <c r="AC58" i="10"/>
  <c r="AC53" i="10"/>
  <c r="N34" i="15"/>
  <c r="G34" i="15"/>
  <c r="AC27" i="10"/>
  <c r="AC25" i="10"/>
  <c r="AC21" i="10"/>
  <c r="AC20" i="10"/>
  <c r="AC19" i="10"/>
  <c r="AC13" i="10"/>
  <c r="AC12" i="10"/>
  <c r="AC11" i="10"/>
  <c r="AB14" i="10"/>
  <c r="I35" i="43"/>
  <c r="I34" i="43"/>
  <c r="AD64" i="43"/>
  <c r="AD65" i="43"/>
  <c r="AD66" i="43"/>
  <c r="AD63" i="43"/>
  <c r="AM64" i="43"/>
  <c r="AM65" i="43"/>
  <c r="AM66" i="43"/>
  <c r="AM63" i="43"/>
  <c r="AL64" i="43"/>
  <c r="AL65" i="43"/>
  <c r="AL66" i="43"/>
  <c r="AL63" i="43"/>
  <c r="AE48" i="43"/>
  <c r="AF48" i="43" s="1"/>
  <c r="AE49" i="43"/>
  <c r="AF49" i="43" s="1"/>
  <c r="AE50" i="43"/>
  <c r="AF50" i="43" s="1"/>
  <c r="AE47" i="43"/>
  <c r="AF47" i="43" s="1"/>
  <c r="AC51" i="43"/>
  <c r="AA51" i="43"/>
  <c r="E36" i="43" s="1"/>
  <c r="V32" i="43" s="1"/>
  <c r="W32" i="43" s="1"/>
  <c r="Y20" i="21"/>
  <c r="X20" i="21"/>
  <c r="Z10" i="21"/>
  <c r="Z17" i="21"/>
  <c r="K170" i="28"/>
  <c r="L86" i="9"/>
  <c r="M86" i="9" s="1"/>
  <c r="K115" i="9"/>
  <c r="L115" i="9" s="1"/>
  <c r="K81" i="28"/>
  <c r="E90" i="34"/>
  <c r="E86" i="34"/>
  <c r="E87" i="34"/>
  <c r="E88" i="34"/>
  <c r="E89" i="34"/>
  <c r="E85" i="34"/>
  <c r="V167" i="28"/>
  <c r="C53" i="45"/>
  <c r="V53" i="45"/>
  <c r="AV94" i="45"/>
  <c r="E100" i="9"/>
  <c r="I106" i="9"/>
  <c r="C106" i="9"/>
  <c r="D106" i="9" s="1"/>
  <c r="S116" i="28"/>
  <c r="R105" i="28"/>
  <c r="S105" i="28" s="1"/>
  <c r="R104" i="28"/>
  <c r="S104" i="28" s="1"/>
  <c r="R103" i="28"/>
  <c r="S103" i="28" s="1"/>
  <c r="R102" i="28"/>
  <c r="S102" i="28" s="1"/>
  <c r="K634" i="16"/>
  <c r="L36" i="51"/>
  <c r="L37" i="51"/>
  <c r="L38" i="51"/>
  <c r="L39" i="51"/>
  <c r="L40" i="51"/>
  <c r="L41" i="51"/>
  <c r="L42" i="51"/>
  <c r="L43" i="51"/>
  <c r="L44" i="51"/>
  <c r="L45" i="51"/>
  <c r="L46" i="51"/>
  <c r="L47" i="51"/>
  <c r="L48" i="51"/>
  <c r="L49" i="51"/>
  <c r="L35" i="51"/>
  <c r="J35" i="51"/>
  <c r="J36" i="51"/>
  <c r="N37" i="51"/>
  <c r="K633" i="16"/>
  <c r="L105" i="32"/>
  <c r="L106" i="32"/>
  <c r="L107" i="32"/>
  <c r="L108" i="32"/>
  <c r="L104" i="32"/>
  <c r="Q146" i="48" l="1"/>
  <c r="C180" i="48"/>
  <c r="M146" i="48"/>
  <c r="C179" i="48"/>
  <c r="I146" i="48"/>
  <c r="C178" i="48"/>
  <c r="E178" i="48" s="1"/>
  <c r="E146" i="48"/>
  <c r="C177" i="48"/>
  <c r="E177" i="48" s="1"/>
  <c r="M127" i="48"/>
  <c r="C176" i="48"/>
  <c r="E176" i="48" s="1"/>
  <c r="I127" i="48"/>
  <c r="C175" i="48"/>
  <c r="E175" i="48" s="1"/>
  <c r="E86" i="48"/>
  <c r="E127" i="48"/>
  <c r="BN13" i="48"/>
  <c r="BN14" i="48" s="1"/>
  <c r="BN17" i="48" s="1"/>
  <c r="BN28" i="48"/>
  <c r="BT12" i="48"/>
  <c r="BU12" i="48" s="1"/>
  <c r="CC10" i="48"/>
  <c r="CD10" i="48" s="1"/>
  <c r="CB10" i="48"/>
  <c r="AG38" i="10"/>
  <c r="AG26" i="10"/>
  <c r="AG27" i="10" s="1"/>
  <c r="AG28" i="10" s="1"/>
  <c r="AG30" i="10" s="1"/>
  <c r="U12" i="15"/>
  <c r="U13" i="15" s="1"/>
  <c r="K60" i="45"/>
  <c r="K42" i="45"/>
  <c r="AJ25" i="10"/>
  <c r="AJ26" i="10" s="1"/>
  <c r="E74" i="9"/>
  <c r="E75" i="9" s="1"/>
  <c r="J74" i="28"/>
  <c r="K74" i="28"/>
  <c r="S107" i="28"/>
  <c r="S115" i="28" s="1"/>
  <c r="S117" i="28" s="1"/>
  <c r="M40" i="54"/>
  <c r="F38" i="54"/>
  <c r="F37" i="54"/>
  <c r="F10" i="54"/>
  <c r="F20" i="54"/>
  <c r="F29" i="54"/>
  <c r="F22" i="54"/>
  <c r="F74" i="54"/>
  <c r="F13" i="54"/>
  <c r="F23" i="54"/>
  <c r="F31" i="54"/>
  <c r="F14" i="54"/>
  <c r="F32" i="54"/>
  <c r="F25" i="54"/>
  <c r="F16" i="54"/>
  <c r="F34" i="54"/>
  <c r="F17" i="54"/>
  <c r="F35" i="54"/>
  <c r="F19" i="54"/>
  <c r="F9" i="54"/>
  <c r="F11" i="54"/>
  <c r="F21" i="54"/>
  <c r="F30" i="54"/>
  <c r="F24" i="54"/>
  <c r="F15" i="54"/>
  <c r="F33" i="54"/>
  <c r="F26" i="54"/>
  <c r="F73" i="54"/>
  <c r="F18" i="54"/>
  <c r="F36" i="54"/>
  <c r="F27" i="54"/>
  <c r="F12" i="54"/>
  <c r="F36" i="9"/>
  <c r="F57" i="9"/>
  <c r="F30" i="9"/>
  <c r="F52" i="9"/>
  <c r="F53" i="9"/>
  <c r="C58" i="9"/>
  <c r="D58" i="9" s="1"/>
  <c r="E58" i="9"/>
  <c r="F58" i="9" s="1"/>
  <c r="F54" i="9"/>
  <c r="F34" i="9"/>
  <c r="F32" i="9"/>
  <c r="F37" i="9"/>
  <c r="F55" i="9"/>
  <c r="F56" i="9"/>
  <c r="H40" i="9"/>
  <c r="L40" i="9" s="1"/>
  <c r="M40" i="9" s="1"/>
  <c r="F35" i="9"/>
  <c r="H34" i="32"/>
  <c r="J46" i="32"/>
  <c r="J50" i="32"/>
  <c r="J49" i="32"/>
  <c r="I33" i="32"/>
  <c r="I11" i="32"/>
  <c r="J7" i="32" s="1"/>
  <c r="J48" i="32"/>
  <c r="I31" i="32"/>
  <c r="L46" i="32"/>
  <c r="F36" i="43"/>
  <c r="G36" i="43" s="1"/>
  <c r="F37" i="43"/>
  <c r="G37" i="43" s="1"/>
  <c r="U55" i="32"/>
  <c r="U53" i="32"/>
  <c r="L50" i="32"/>
  <c r="L49" i="32"/>
  <c r="L48" i="32"/>
  <c r="E34" i="32"/>
  <c r="I54" i="32"/>
  <c r="I13" i="32"/>
  <c r="K54" i="32"/>
  <c r="F34" i="32"/>
  <c r="H14" i="32"/>
  <c r="D11" i="32"/>
  <c r="D14" i="32" s="1"/>
  <c r="G14" i="32"/>
  <c r="K57" i="32"/>
  <c r="E17" i="32"/>
  <c r="F17" i="32"/>
  <c r="G17" i="32"/>
  <c r="G34" i="32"/>
  <c r="H37" i="32"/>
  <c r="E14" i="32"/>
  <c r="F14" i="32"/>
  <c r="I57" i="32"/>
  <c r="H17" i="32"/>
  <c r="E37" i="32"/>
  <c r="L109" i="32"/>
  <c r="M105" i="32" s="1"/>
  <c r="F37" i="32"/>
  <c r="F33" i="9"/>
  <c r="F31" i="9"/>
  <c r="F38" i="9"/>
  <c r="E39" i="9"/>
  <c r="F39" i="9" s="1"/>
  <c r="AG47" i="43"/>
  <c r="AH47" i="43" s="1"/>
  <c r="AG50" i="43"/>
  <c r="AH50" i="43" s="1"/>
  <c r="AG48" i="43"/>
  <c r="AH48" i="43" s="1"/>
  <c r="AG49" i="43"/>
  <c r="AH49" i="43" s="1"/>
  <c r="AE51" i="43"/>
  <c r="AF51" i="43" s="1"/>
  <c r="AD51" i="43"/>
  <c r="AB51" i="43"/>
  <c r="K105" i="32"/>
  <c r="K106" i="32"/>
  <c r="K107" i="32"/>
  <c r="K108" i="32"/>
  <c r="K104" i="32"/>
  <c r="H105" i="32"/>
  <c r="H106" i="32"/>
  <c r="H108" i="32"/>
  <c r="H104" i="32"/>
  <c r="E105" i="32"/>
  <c r="E106" i="32"/>
  <c r="E104" i="32"/>
  <c r="Q111" i="32"/>
  <c r="Q105" i="32"/>
  <c r="Q106" i="32"/>
  <c r="Q108" i="32"/>
  <c r="Q104" i="32"/>
  <c r="P111" i="32"/>
  <c r="P105" i="32"/>
  <c r="P106" i="32"/>
  <c r="P104" i="32"/>
  <c r="O111" i="32"/>
  <c r="O105" i="32"/>
  <c r="O106" i="32"/>
  <c r="O104" i="32"/>
  <c r="AC62" i="10"/>
  <c r="AA61" i="10"/>
  <c r="AA62" i="10" s="1"/>
  <c r="AB63" i="10" s="1"/>
  <c r="J627" i="16"/>
  <c r="K624" i="16"/>
  <c r="K625" i="16"/>
  <c r="J632" i="16"/>
  <c r="J631" i="16"/>
  <c r="AI15" i="10"/>
  <c r="AE15" i="10"/>
  <c r="AB15" i="10"/>
  <c r="AB24" i="10" s="1"/>
  <c r="Q15" i="10"/>
  <c r="P15" i="10"/>
  <c r="P24" i="10" s="1"/>
  <c r="L15" i="10"/>
  <c r="L24" i="10" s="1"/>
  <c r="N15" i="10"/>
  <c r="K15" i="10"/>
  <c r="K24" i="10" s="1"/>
  <c r="I86" i="48" l="1"/>
  <c r="H86" i="48"/>
  <c r="E93" i="48"/>
  <c r="AI24" i="10"/>
  <c r="AI16" i="10"/>
  <c r="AE24" i="10"/>
  <c r="AE38" i="10" s="1"/>
  <c r="AE16" i="10"/>
  <c r="N24" i="10"/>
  <c r="L42" i="45"/>
  <c r="L60" i="45"/>
  <c r="I166" i="45"/>
  <c r="J30" i="32"/>
  <c r="J26" i="32"/>
  <c r="AJ28" i="10"/>
  <c r="AC63" i="10"/>
  <c r="G11" i="54"/>
  <c r="G38" i="54"/>
  <c r="G28" i="54"/>
  <c r="G18" i="54"/>
  <c r="J27" i="32"/>
  <c r="J28" i="32"/>
  <c r="J29" i="32"/>
  <c r="J9" i="32"/>
  <c r="I34" i="32"/>
  <c r="J6" i="32"/>
  <c r="J8" i="32"/>
  <c r="J10" i="32"/>
  <c r="I14" i="32"/>
  <c r="M106" i="32"/>
  <c r="M108" i="32"/>
  <c r="M107" i="32"/>
  <c r="M104" i="32"/>
  <c r="F40" i="9"/>
  <c r="AG51" i="43"/>
  <c r="AH51" i="43" s="1"/>
  <c r="J36" i="43"/>
  <c r="R115" i="28"/>
  <c r="R117" i="28" s="1"/>
  <c r="R118" i="28" s="1"/>
  <c r="R119" i="28" s="1"/>
  <c r="T107" i="28"/>
  <c r="T115" i="28" s="1"/>
  <c r="K109" i="32"/>
  <c r="AD2" i="21"/>
  <c r="AA17" i="10"/>
  <c r="Z17" i="10"/>
  <c r="AC17" i="10" s="1"/>
  <c r="X17" i="10"/>
  <c r="S17" i="10"/>
  <c r="H100" i="10"/>
  <c r="G100" i="10"/>
  <c r="AO17" i="10" l="1"/>
  <c r="AO16" i="10"/>
  <c r="AJ29" i="10"/>
  <c r="AJ30" i="10"/>
  <c r="AJ46" i="10" s="1"/>
  <c r="T117" i="28"/>
  <c r="P85" i="32"/>
  <c r="L111" i="32" s="1"/>
  <c r="L112" i="32" s="1"/>
  <c r="M85" i="32"/>
  <c r="K111" i="32" s="1"/>
  <c r="K112" i="32" s="1"/>
  <c r="P75" i="32"/>
  <c r="P82" i="32"/>
  <c r="Q83" i="32" s="1"/>
  <c r="S29" i="15"/>
  <c r="J45" i="37"/>
  <c r="H45" i="37"/>
  <c r="G45" i="37"/>
  <c r="F45" i="37"/>
  <c r="I44" i="37"/>
  <c r="I43" i="37"/>
  <c r="I45" i="37" s="1"/>
  <c r="J38" i="37"/>
  <c r="H38" i="37"/>
  <c r="H47" i="37" s="1"/>
  <c r="G38" i="37"/>
  <c r="G47" i="37" s="1"/>
  <c r="F38" i="37"/>
  <c r="I36" i="37"/>
  <c r="I34" i="37"/>
  <c r="I38" i="37" s="1"/>
  <c r="P45" i="37"/>
  <c r="N45" i="37"/>
  <c r="M45" i="37"/>
  <c r="M47" i="37" s="1"/>
  <c r="L45" i="37"/>
  <c r="O44" i="37"/>
  <c r="O43" i="37"/>
  <c r="P38" i="37"/>
  <c r="P47" i="37" s="1"/>
  <c r="N38" i="37"/>
  <c r="M38" i="37"/>
  <c r="L38" i="37"/>
  <c r="O36" i="37"/>
  <c r="O34" i="37"/>
  <c r="O38" i="37" s="1"/>
  <c r="V45" i="37"/>
  <c r="U45" i="37"/>
  <c r="T45" i="37"/>
  <c r="S45" i="37"/>
  <c r="R45" i="37"/>
  <c r="U44" i="37"/>
  <c r="U43" i="37"/>
  <c r="V38" i="37"/>
  <c r="T38" i="37"/>
  <c r="S38" i="37"/>
  <c r="R38" i="37"/>
  <c r="U36" i="37"/>
  <c r="U34" i="37"/>
  <c r="U38" i="37" s="1"/>
  <c r="U47" i="37" s="1"/>
  <c r="AB23" i="37"/>
  <c r="AB22" i="37"/>
  <c r="AB24" i="37" s="1"/>
  <c r="AB15" i="37"/>
  <c r="AB13" i="37"/>
  <c r="Z24" i="37"/>
  <c r="Y24" i="37"/>
  <c r="X24" i="37"/>
  <c r="Z17" i="37"/>
  <c r="Z26" i="37" s="1"/>
  <c r="Y17" i="37"/>
  <c r="X17" i="37"/>
  <c r="U23" i="37"/>
  <c r="U22" i="37"/>
  <c r="U15" i="37"/>
  <c r="U13" i="37"/>
  <c r="U17" i="37" s="1"/>
  <c r="O23" i="37"/>
  <c r="O22" i="37"/>
  <c r="O24" i="37" s="1"/>
  <c r="O15" i="37"/>
  <c r="O13" i="37"/>
  <c r="I23" i="37"/>
  <c r="I22" i="37"/>
  <c r="I15" i="37"/>
  <c r="I13" i="37"/>
  <c r="X58" i="10"/>
  <c r="S58" i="10"/>
  <c r="AI54" i="10"/>
  <c r="AD19" i="21"/>
  <c r="AD21" i="21" s="1"/>
  <c r="AF2" i="21" s="1"/>
  <c r="R20" i="21"/>
  <c r="W20" i="21"/>
  <c r="Z18" i="21"/>
  <c r="Z9" i="21"/>
  <c r="Z8" i="21"/>
  <c r="Z7" i="21"/>
  <c r="Z6" i="21"/>
  <c r="Z14" i="21"/>
  <c r="X19" i="21"/>
  <c r="S30" i="15"/>
  <c r="Y30" i="15"/>
  <c r="F34" i="15"/>
  <c r="E34" i="15"/>
  <c r="AA14" i="10"/>
  <c r="AA15" i="10" s="1"/>
  <c r="Q118" i="45"/>
  <c r="AQ15" i="15"/>
  <c r="AR15" i="15"/>
  <c r="AS15" i="15"/>
  <c r="AT15" i="15"/>
  <c r="AU15" i="15"/>
  <c r="AP15" i="15"/>
  <c r="Z14" i="10"/>
  <c r="AA45" i="10"/>
  <c r="Z45" i="10"/>
  <c r="H19" i="34"/>
  <c r="H9" i="34"/>
  <c r="H10" i="34"/>
  <c r="H11" i="34"/>
  <c r="H12" i="34"/>
  <c r="H13" i="34"/>
  <c r="H14" i="34"/>
  <c r="H15" i="34"/>
  <c r="H16" i="34"/>
  <c r="H17" i="34"/>
  <c r="H18" i="34"/>
  <c r="H8" i="34"/>
  <c r="D19" i="34"/>
  <c r="C19" i="34"/>
  <c r="F65" i="34"/>
  <c r="F64" i="34"/>
  <c r="F62" i="34"/>
  <c r="K34" i="34"/>
  <c r="J34" i="34"/>
  <c r="I34" i="34"/>
  <c r="I33" i="34" s="1"/>
  <c r="H34" i="34"/>
  <c r="H33" i="34" s="1"/>
  <c r="G34" i="34"/>
  <c r="G33" i="34" s="1"/>
  <c r="F34" i="34"/>
  <c r="F33" i="34" s="1"/>
  <c r="E34" i="34"/>
  <c r="E33" i="34" s="1"/>
  <c r="D34" i="34"/>
  <c r="J33" i="34"/>
  <c r="H260" i="9"/>
  <c r="H261" i="9"/>
  <c r="H259" i="9"/>
  <c r="I262" i="9"/>
  <c r="I263" i="9" s="1"/>
  <c r="X8" i="34"/>
  <c r="X9" i="34"/>
  <c r="X10" i="34"/>
  <c r="X11" i="34" s="1"/>
  <c r="X12" i="34" s="1"/>
  <c r="X7" i="34"/>
  <c r="E261" i="9"/>
  <c r="E260" i="9"/>
  <c r="E259" i="9"/>
  <c r="D6" i="28"/>
  <c r="D5" i="28"/>
  <c r="Q11" i="45"/>
  <c r="D65" i="45"/>
  <c r="C64" i="45"/>
  <c r="AS64" i="45" s="1"/>
  <c r="C65" i="45"/>
  <c r="AS65" i="45" s="1"/>
  <c r="D64" i="45"/>
  <c r="Q65" i="45"/>
  <c r="P65" i="45"/>
  <c r="Q64" i="45"/>
  <c r="P64" i="45"/>
  <c r="K116" i="28"/>
  <c r="M116" i="28"/>
  <c r="N116" i="28" s="1"/>
  <c r="K620" i="16"/>
  <c r="S121" i="28"/>
  <c r="I103" i="28"/>
  <c r="I107" i="28"/>
  <c r="J107" i="28" s="1"/>
  <c r="W11" i="34"/>
  <c r="W12" i="34" s="1"/>
  <c r="Y138" i="28"/>
  <c r="AA136" i="28"/>
  <c r="AA137" i="28"/>
  <c r="AA135" i="28"/>
  <c r="AV6" i="10"/>
  <c r="AV7" i="10"/>
  <c r="K616" i="16"/>
  <c r="Q107" i="45"/>
  <c r="Q104" i="45"/>
  <c r="Q105" i="45"/>
  <c r="Q106" i="45"/>
  <c r="Q103" i="45"/>
  <c r="Q102" i="45"/>
  <c r="Q94" i="45"/>
  <c r="Q69" i="45"/>
  <c r="Q79" i="45"/>
  <c r="J79" i="45" s="1"/>
  <c r="Q82" i="45"/>
  <c r="Q76" i="45"/>
  <c r="Q66" i="45"/>
  <c r="Q67" i="45"/>
  <c r="Q68" i="45"/>
  <c r="Q63" i="45"/>
  <c r="Q24" i="45"/>
  <c r="Q25" i="45"/>
  <c r="Q15" i="45"/>
  <c r="Q12" i="45"/>
  <c r="Q28" i="45"/>
  <c r="Q26" i="45"/>
  <c r="Q29" i="45"/>
  <c r="Q27" i="45"/>
  <c r="Q30" i="45"/>
  <c r="Q32" i="45"/>
  <c r="Q33" i="45"/>
  <c r="Q23" i="45"/>
  <c r="Q9" i="45"/>
  <c r="Q21" i="45"/>
  <c r="Q13" i="45"/>
  <c r="Q14" i="45"/>
  <c r="Q16" i="45"/>
  <c r="Q22" i="45"/>
  <c r="Q8" i="45"/>
  <c r="D11" i="45"/>
  <c r="J84" i="45" s="1"/>
  <c r="Q61" i="45"/>
  <c r="AJ58" i="10" l="1"/>
  <c r="AJ59" i="10" s="1"/>
  <c r="AJ65" i="10"/>
  <c r="AA16" i="10"/>
  <c r="AA24" i="10"/>
  <c r="AC14" i="10"/>
  <c r="AC15" i="10" s="1"/>
  <c r="Z15" i="10"/>
  <c r="T30" i="15"/>
  <c r="Z20" i="21"/>
  <c r="Y19" i="21"/>
  <c r="Y21" i="21" s="1"/>
  <c r="X21" i="21"/>
  <c r="P78" i="32"/>
  <c r="AB38" i="10"/>
  <c r="AB26" i="10"/>
  <c r="AB28" i="10" s="1"/>
  <c r="AB48" i="10" s="1"/>
  <c r="AB16" i="10"/>
  <c r="AI55" i="10"/>
  <c r="O45" i="37"/>
  <c r="V47" i="37"/>
  <c r="L47" i="37"/>
  <c r="I47" i="37"/>
  <c r="R47" i="37"/>
  <c r="T47" i="37"/>
  <c r="S47" i="37"/>
  <c r="N47" i="37"/>
  <c r="F47" i="37"/>
  <c r="J47" i="37"/>
  <c r="O47" i="37"/>
  <c r="Y26" i="37"/>
  <c r="AB17" i="37"/>
  <c r="AB26" i="37" s="1"/>
  <c r="U24" i="37"/>
  <c r="U26" i="37" s="1"/>
  <c r="AA17" i="37"/>
  <c r="AA24" i="37"/>
  <c r="X26" i="37"/>
  <c r="O17" i="37"/>
  <c r="O26" i="37" s="1"/>
  <c r="Z19" i="21"/>
  <c r="Z21" i="21" s="1"/>
  <c r="W19" i="21"/>
  <c r="W21" i="21" s="1"/>
  <c r="U30" i="15"/>
  <c r="AI25" i="10"/>
  <c r="AI26" i="10" s="1"/>
  <c r="I65" i="45"/>
  <c r="J65" i="45"/>
  <c r="K31" i="34"/>
  <c r="D33" i="34"/>
  <c r="K33" i="34"/>
  <c r="H262" i="9"/>
  <c r="H263" i="9" s="1"/>
  <c r="E262" i="9"/>
  <c r="E263" i="9" s="1"/>
  <c r="J64" i="45"/>
  <c r="I64" i="45"/>
  <c r="AA138" i="28"/>
  <c r="Z138" i="28" s="1"/>
  <c r="J103" i="28"/>
  <c r="K83" i="16"/>
  <c r="G271" i="16"/>
  <c r="H271" i="16"/>
  <c r="H302" i="16"/>
  <c r="J302" i="16"/>
  <c r="G332" i="16"/>
  <c r="H332" i="16"/>
  <c r="J332" i="16"/>
  <c r="G376" i="16"/>
  <c r="H376" i="16"/>
  <c r="G423" i="16"/>
  <c r="H423" i="16"/>
  <c r="G531" i="16"/>
  <c r="H531" i="16"/>
  <c r="G601" i="16"/>
  <c r="H601" i="16"/>
  <c r="G666" i="16"/>
  <c r="H666" i="16"/>
  <c r="I196" i="45"/>
  <c r="AC16" i="10" l="1"/>
  <c r="AC24" i="10"/>
  <c r="Z16" i="10"/>
  <c r="Z24" i="10"/>
  <c r="K65" i="45"/>
  <c r="L65" i="45" s="1"/>
  <c r="AI56" i="10"/>
  <c r="AI45" i="10" s="1"/>
  <c r="AA26" i="37"/>
  <c r="AI28" i="10"/>
  <c r="AI30" i="10" s="1"/>
  <c r="AA38" i="10"/>
  <c r="K64" i="45"/>
  <c r="L64" i="45" s="1"/>
  <c r="J102" i="45"/>
  <c r="J103" i="45"/>
  <c r="P103" i="45"/>
  <c r="I103" i="45" s="1"/>
  <c r="P102" i="45"/>
  <c r="I102" i="45" s="1"/>
  <c r="K612" i="16"/>
  <c r="AX81" i="10"/>
  <c r="AX80" i="10"/>
  <c r="L135" i="32"/>
  <c r="L136" i="32" s="1"/>
  <c r="H95" i="32"/>
  <c r="H93" i="32"/>
  <c r="H92" i="32"/>
  <c r="H91" i="32"/>
  <c r="G95" i="32"/>
  <c r="G93" i="32"/>
  <c r="G92" i="32"/>
  <c r="G91" i="32"/>
  <c r="F93" i="32"/>
  <c r="F92" i="32"/>
  <c r="F91" i="32"/>
  <c r="E93" i="32"/>
  <c r="E92" i="32"/>
  <c r="E91" i="32"/>
  <c r="AI46" i="10" l="1"/>
  <c r="AI29" i="10"/>
  <c r="Z26" i="10"/>
  <c r="Z28" i="10" s="1"/>
  <c r="Z48" i="10" s="1"/>
  <c r="Z38" i="10"/>
  <c r="AC26" i="10"/>
  <c r="AC28" i="10" s="1"/>
  <c r="AC48" i="10" s="1"/>
  <c r="AC38" i="10"/>
  <c r="AA26" i="10"/>
  <c r="AA28" i="10" s="1"/>
  <c r="AA48" i="10" s="1"/>
  <c r="K103" i="45"/>
  <c r="K102" i="45"/>
  <c r="L120" i="32"/>
  <c r="V27" i="43"/>
  <c r="J35" i="43"/>
  <c r="K73" i="43"/>
  <c r="K69" i="43"/>
  <c r="K70" i="43"/>
  <c r="K72" i="43"/>
  <c r="K68" i="43"/>
  <c r="K66" i="43"/>
  <c r="K65" i="43"/>
  <c r="K63" i="43"/>
  <c r="K62" i="43"/>
  <c r="F51" i="43"/>
  <c r="E51" i="43"/>
  <c r="G50" i="43"/>
  <c r="G49" i="43"/>
  <c r="G48" i="43"/>
  <c r="G47" i="43"/>
  <c r="E12" i="21"/>
  <c r="F12" i="21"/>
  <c r="K12" i="21"/>
  <c r="P12" i="21"/>
  <c r="G12" i="21"/>
  <c r="L12" i="21"/>
  <c r="Q12" i="21"/>
  <c r="H12" i="21"/>
  <c r="M12" i="21"/>
  <c r="R12" i="21"/>
  <c r="I12" i="21"/>
  <c r="N12" i="21"/>
  <c r="S12" i="21"/>
  <c r="J12" i="21"/>
  <c r="O12" i="21"/>
  <c r="T12" i="21"/>
  <c r="U12" i="21"/>
  <c r="D12" i="21"/>
  <c r="F14" i="21"/>
  <c r="K14" i="21"/>
  <c r="P14" i="21"/>
  <c r="G14" i="21"/>
  <c r="L14" i="21"/>
  <c r="Q14" i="21"/>
  <c r="H14" i="21"/>
  <c r="M14" i="21"/>
  <c r="I14" i="21"/>
  <c r="N14" i="21"/>
  <c r="S14" i="21"/>
  <c r="J14" i="21"/>
  <c r="O14" i="21"/>
  <c r="T14" i="21"/>
  <c r="U14" i="21"/>
  <c r="E14" i="21"/>
  <c r="D14" i="21"/>
  <c r="D105" i="15"/>
  <c r="E105" i="15" s="1"/>
  <c r="J104" i="15"/>
  <c r="K104" i="15" s="1"/>
  <c r="K103" i="15"/>
  <c r="E82" i="15"/>
  <c r="D82" i="15"/>
  <c r="E79" i="15"/>
  <c r="E78" i="15"/>
  <c r="E77" i="15"/>
  <c r="D79" i="15"/>
  <c r="D77" i="15"/>
  <c r="AZ14" i="10"/>
  <c r="AZ20" i="10"/>
  <c r="AZ7" i="10"/>
  <c r="T141" i="28"/>
  <c r="H34" i="15"/>
  <c r="I33" i="15"/>
  <c r="I32" i="15"/>
  <c r="I31" i="15"/>
  <c r="K31" i="15" s="1"/>
  <c r="L75" i="32"/>
  <c r="O45" i="10"/>
  <c r="K45" i="10"/>
  <c r="P45" i="10"/>
  <c r="L45" i="10"/>
  <c r="Q45" i="10"/>
  <c r="M45" i="10"/>
  <c r="R45" i="10"/>
  <c r="T45" i="10"/>
  <c r="U45" i="10"/>
  <c r="V45" i="10"/>
  <c r="T53" i="10"/>
  <c r="U53" i="10"/>
  <c r="V53" i="10"/>
  <c r="W53" i="10"/>
  <c r="X53" i="10"/>
  <c r="Y40" i="48"/>
  <c r="Y41" i="48"/>
  <c r="Y35" i="48"/>
  <c r="AC40" i="48"/>
  <c r="AC41" i="48"/>
  <c r="U40" i="48"/>
  <c r="U35" i="48"/>
  <c r="M35" i="48"/>
  <c r="M40" i="48"/>
  <c r="M37" i="48"/>
  <c r="M36" i="48"/>
  <c r="M33" i="48"/>
  <c r="U68" i="21"/>
  <c r="U51" i="21"/>
  <c r="U46" i="21"/>
  <c r="U34" i="21"/>
  <c r="I23" i="15"/>
  <c r="Q57" i="45"/>
  <c r="K577" i="16"/>
  <c r="K615" i="16"/>
  <c r="AU22" i="45"/>
  <c r="X14" i="10"/>
  <c r="X15" i="10" s="1"/>
  <c r="P118" i="45"/>
  <c r="J24" i="45"/>
  <c r="J22" i="45"/>
  <c r="J13" i="45"/>
  <c r="J117" i="45"/>
  <c r="Y117" i="45"/>
  <c r="Y53" i="45"/>
  <c r="K587" i="16"/>
  <c r="P25" i="45"/>
  <c r="I25" i="45" s="1"/>
  <c r="P22" i="45"/>
  <c r="I22" i="45" s="1"/>
  <c r="P13" i="45"/>
  <c r="I13" i="45" s="1"/>
  <c r="D48" i="28"/>
  <c r="D50" i="28"/>
  <c r="D51" i="28"/>
  <c r="D52" i="28"/>
  <c r="D49" i="28"/>
  <c r="V42" i="28"/>
  <c r="AB48" i="28"/>
  <c r="AC48" i="28" s="1"/>
  <c r="AA49" i="28"/>
  <c r="AB49" i="28" s="1"/>
  <c r="AC49" i="28" s="1"/>
  <c r="J666" i="16"/>
  <c r="J576" i="16"/>
  <c r="J575" i="16"/>
  <c r="G25" i="51"/>
  <c r="G27" i="51" s="1"/>
  <c r="J25" i="51"/>
  <c r="J27" i="51" s="1"/>
  <c r="I25" i="51"/>
  <c r="I27" i="51" s="1"/>
  <c r="H25" i="51"/>
  <c r="H27" i="51" s="1"/>
  <c r="E242" i="9"/>
  <c r="E243" i="9"/>
  <c r="E244" i="9"/>
  <c r="E245" i="9"/>
  <c r="E246" i="9"/>
  <c r="E241" i="9"/>
  <c r="D248" i="9"/>
  <c r="D249" i="9" s="1"/>
  <c r="C233" i="9"/>
  <c r="D233" i="9" s="1"/>
  <c r="E231" i="9"/>
  <c r="D231" i="9"/>
  <c r="E230" i="9"/>
  <c r="D230" i="9"/>
  <c r="E229" i="9"/>
  <c r="D229" i="9"/>
  <c r="E228" i="9"/>
  <c r="G229" i="9" s="1"/>
  <c r="D228" i="9"/>
  <c r="E227" i="9"/>
  <c r="D227" i="9"/>
  <c r="E226" i="9"/>
  <c r="F274" i="32"/>
  <c r="H273" i="32"/>
  <c r="H272" i="32"/>
  <c r="H255" i="32"/>
  <c r="H256" i="32"/>
  <c r="H257" i="32"/>
  <c r="I257" i="32" s="1"/>
  <c r="H258" i="32"/>
  <c r="H259" i="32"/>
  <c r="H254" i="32"/>
  <c r="L254" i="32"/>
  <c r="F261" i="32"/>
  <c r="G261" i="32" s="1"/>
  <c r="G255" i="32"/>
  <c r="G256" i="32"/>
  <c r="G257" i="32"/>
  <c r="G258" i="32"/>
  <c r="G259" i="32"/>
  <c r="E82" i="32"/>
  <c r="F82" i="32"/>
  <c r="G82" i="32"/>
  <c r="H82" i="32"/>
  <c r="I82" i="32"/>
  <c r="J82" i="32"/>
  <c r="K82" i="32"/>
  <c r="L82" i="32"/>
  <c r="M82" i="32"/>
  <c r="P83" i="32" s="1"/>
  <c r="D82" i="32"/>
  <c r="BE10" i="10"/>
  <c r="BF10" i="10" s="1"/>
  <c r="H53" i="28"/>
  <c r="N47" i="28"/>
  <c r="P46" i="28"/>
  <c r="P47" i="28" s="1"/>
  <c r="E104" i="15"/>
  <c r="F104" i="15"/>
  <c r="Z53" i="45"/>
  <c r="B162" i="28"/>
  <c r="C162" i="28"/>
  <c r="B163" i="28"/>
  <c r="C163" i="28"/>
  <c r="B164" i="28"/>
  <c r="C164" i="28"/>
  <c r="B165" i="28"/>
  <c r="C165" i="28"/>
  <c r="C161" i="28"/>
  <c r="B161" i="28"/>
  <c r="E105" i="9"/>
  <c r="D105" i="9"/>
  <c r="U115" i="9"/>
  <c r="V115" i="9" s="1"/>
  <c r="Z104" i="9"/>
  <c r="Z105" i="9" s="1"/>
  <c r="Y104" i="9"/>
  <c r="Y105" i="9" s="1"/>
  <c r="X104" i="9"/>
  <c r="X105" i="9" s="1"/>
  <c r="W104" i="9"/>
  <c r="W105" i="9" s="1"/>
  <c r="V104" i="9"/>
  <c r="V105" i="9" s="1"/>
  <c r="U104" i="9"/>
  <c r="U105" i="9" s="1"/>
  <c r="T104" i="9"/>
  <c r="T105" i="9" s="1"/>
  <c r="AA103" i="9"/>
  <c r="AA95" i="9"/>
  <c r="Z97" i="9"/>
  <c r="Z96" i="9" s="1"/>
  <c r="U97" i="9"/>
  <c r="U96" i="9" s="1"/>
  <c r="V97" i="9"/>
  <c r="V96" i="9" s="1"/>
  <c r="Y97" i="9"/>
  <c r="Y96" i="9" s="1"/>
  <c r="W97" i="9"/>
  <c r="W96" i="9" s="1"/>
  <c r="T97" i="9"/>
  <c r="T96" i="9" s="1"/>
  <c r="X97" i="9"/>
  <c r="X96" i="9" s="1"/>
  <c r="X24" i="10" l="1"/>
  <c r="X16" i="10"/>
  <c r="AI40" i="10"/>
  <c r="AI41" i="10" s="1"/>
  <c r="AI65" i="10"/>
  <c r="AC54" i="10"/>
  <c r="AC55" i="10" s="1"/>
  <c r="AC56" i="10" s="1"/>
  <c r="I255" i="32"/>
  <c r="O47" i="28"/>
  <c r="L83" i="32"/>
  <c r="I256" i="32"/>
  <c r="AI58" i="10"/>
  <c r="AI59" i="10" s="1"/>
  <c r="U70" i="21"/>
  <c r="U72" i="21" s="1"/>
  <c r="K666" i="16"/>
  <c r="B166" i="28"/>
  <c r="C166" i="28"/>
  <c r="G83" i="32"/>
  <c r="K75" i="43"/>
  <c r="G51" i="43"/>
  <c r="I34" i="15"/>
  <c r="J25" i="45"/>
  <c r="K25" i="45" s="1"/>
  <c r="L25" i="45" s="1"/>
  <c r="P24" i="45"/>
  <c r="I24" i="45" s="1"/>
  <c r="K22" i="45"/>
  <c r="L22" i="45" s="1"/>
  <c r="K13" i="45"/>
  <c r="I161" i="45" s="1"/>
  <c r="E248" i="9"/>
  <c r="E249" i="9" s="1"/>
  <c r="G230" i="9"/>
  <c r="G228" i="9"/>
  <c r="E233" i="9"/>
  <c r="G233" i="9" s="1"/>
  <c r="G227" i="9"/>
  <c r="G231" i="9"/>
  <c r="H274" i="32"/>
  <c r="G274" i="32" s="1"/>
  <c r="I258" i="32"/>
  <c r="M83" i="32"/>
  <c r="I259" i="32"/>
  <c r="H261" i="32"/>
  <c r="I261" i="32" s="1"/>
  <c r="F83" i="32"/>
  <c r="J83" i="32"/>
  <c r="E83" i="32"/>
  <c r="K83" i="32"/>
  <c r="I83" i="32"/>
  <c r="H83" i="32"/>
  <c r="AA105" i="9"/>
  <c r="AA104" i="9"/>
  <c r="AB104" i="9" s="1"/>
  <c r="AA96" i="9"/>
  <c r="AB96" i="9" s="1"/>
  <c r="AA97" i="9"/>
  <c r="AB97" i="9" s="1"/>
  <c r="K569" i="16"/>
  <c r="H17" i="49"/>
  <c r="I17" i="49" s="1"/>
  <c r="H11" i="49"/>
  <c r="I11" i="49" s="1"/>
  <c r="J11" i="49" s="1"/>
  <c r="H12" i="49"/>
  <c r="I12" i="49" s="1"/>
  <c r="J12" i="49" s="1"/>
  <c r="H16" i="49"/>
  <c r="I16" i="49" s="1"/>
  <c r="H13" i="49"/>
  <c r="I13" i="49" s="1"/>
  <c r="J13" i="49" s="1"/>
  <c r="H15" i="49"/>
  <c r="I15" i="49" s="1"/>
  <c r="K7" i="49"/>
  <c r="L7" i="49" s="1"/>
  <c r="M7" i="49" s="1"/>
  <c r="H7" i="49"/>
  <c r="I7" i="49" s="1"/>
  <c r="J7" i="49" s="1"/>
  <c r="K9" i="49"/>
  <c r="L9" i="49" s="1"/>
  <c r="M9" i="49" s="1"/>
  <c r="H9" i="49"/>
  <c r="I9" i="49" s="1"/>
  <c r="J9" i="49" s="1"/>
  <c r="H8" i="49"/>
  <c r="I8" i="49" s="1"/>
  <c r="J8" i="49" s="1"/>
  <c r="K8" i="49"/>
  <c r="L8" i="49" s="1"/>
  <c r="M8" i="49" s="1"/>
  <c r="O7" i="49"/>
  <c r="O6" i="49"/>
  <c r="K5" i="49"/>
  <c r="L5" i="49" s="1"/>
  <c r="M5" i="49" s="1"/>
  <c r="K6" i="49"/>
  <c r="L6" i="49" s="1"/>
  <c r="M6" i="49" s="1"/>
  <c r="H6" i="49"/>
  <c r="I6" i="49" s="1"/>
  <c r="J6" i="49" s="1"/>
  <c r="H5" i="49"/>
  <c r="I5" i="49" s="1"/>
  <c r="J5" i="49" s="1"/>
  <c r="K98" i="32"/>
  <c r="J98" i="32"/>
  <c r="K92" i="32"/>
  <c r="K93" i="32"/>
  <c r="K95" i="32"/>
  <c r="K91" i="32"/>
  <c r="J92" i="32"/>
  <c r="J93" i="32"/>
  <c r="J95" i="32"/>
  <c r="J91" i="32"/>
  <c r="D74" i="32"/>
  <c r="BE17" i="48"/>
  <c r="BE19" i="48"/>
  <c r="BE20" i="48"/>
  <c r="BE21" i="48"/>
  <c r="BE22" i="48"/>
  <c r="BE23" i="48"/>
  <c r="BE24" i="48"/>
  <c r="BE25" i="48"/>
  <c r="BA25" i="48"/>
  <c r="BA17" i="48"/>
  <c r="BA19" i="48"/>
  <c r="BA20" i="48"/>
  <c r="BA21" i="48"/>
  <c r="BA22" i="48"/>
  <c r="BA23" i="48"/>
  <c r="BA24" i="48"/>
  <c r="AW17" i="48"/>
  <c r="AW19" i="48"/>
  <c r="AW20" i="48"/>
  <c r="AW21" i="48"/>
  <c r="AW22" i="48"/>
  <c r="AW23" i="48"/>
  <c r="AW24" i="48"/>
  <c r="AW25" i="48"/>
  <c r="AS17" i="48"/>
  <c r="AS19" i="48"/>
  <c r="AS20" i="48"/>
  <c r="AS21" i="48"/>
  <c r="AS22" i="48"/>
  <c r="AS23" i="48"/>
  <c r="AS24" i="48"/>
  <c r="AS25" i="48"/>
  <c r="BE39" i="48"/>
  <c r="BE42" i="48"/>
  <c r="BA39" i="48"/>
  <c r="BA42" i="48"/>
  <c r="AW39" i="48"/>
  <c r="AW42" i="48"/>
  <c r="AS39" i="48"/>
  <c r="AS42" i="48"/>
  <c r="AO39" i="48"/>
  <c r="AO42" i="48"/>
  <c r="AK39" i="48"/>
  <c r="AK42" i="48"/>
  <c r="AC39" i="48"/>
  <c r="Y39" i="48"/>
  <c r="U39" i="48"/>
  <c r="M39" i="48"/>
  <c r="G127" i="32"/>
  <c r="F127" i="32"/>
  <c r="AC17" i="48"/>
  <c r="AC19" i="48"/>
  <c r="AC20" i="48"/>
  <c r="AC21" i="48"/>
  <c r="AC23" i="48"/>
  <c r="AC24" i="48"/>
  <c r="Y17" i="48"/>
  <c r="Y19" i="48"/>
  <c r="Y20" i="48"/>
  <c r="Y21" i="48"/>
  <c r="Y23" i="48"/>
  <c r="Y24" i="48"/>
  <c r="U17" i="48"/>
  <c r="U19" i="48"/>
  <c r="U20" i="48"/>
  <c r="U21" i="48"/>
  <c r="U23" i="48"/>
  <c r="U24" i="48"/>
  <c r="M17" i="48"/>
  <c r="M19" i="48"/>
  <c r="M23" i="48"/>
  <c r="M24" i="48"/>
  <c r="AK20" i="48"/>
  <c r="AK21" i="48"/>
  <c r="AK22" i="48"/>
  <c r="AK23" i="48"/>
  <c r="AK24" i="48"/>
  <c r="AK25" i="48"/>
  <c r="AK19" i="48"/>
  <c r="AO17" i="48"/>
  <c r="AO19" i="48"/>
  <c r="AO20" i="48"/>
  <c r="AO21" i="48"/>
  <c r="AO22" i="48"/>
  <c r="AO23" i="48"/>
  <c r="AO24" i="48"/>
  <c r="AO25" i="48"/>
  <c r="AN27" i="48"/>
  <c r="AM27" i="48"/>
  <c r="AK17" i="48"/>
  <c r="BI21" i="48"/>
  <c r="AG39" i="48"/>
  <c r="AG42" i="48"/>
  <c r="AG17" i="48"/>
  <c r="AG19" i="48"/>
  <c r="AG20" i="48"/>
  <c r="AG21" i="48"/>
  <c r="AG23" i="48"/>
  <c r="AG24" i="48"/>
  <c r="AG25" i="48"/>
  <c r="AG27" i="48"/>
  <c r="AO51" i="48"/>
  <c r="AO32" i="48"/>
  <c r="AO34" i="48"/>
  <c r="AO43" i="48"/>
  <c r="AO44" i="48"/>
  <c r="AK32" i="48"/>
  <c r="AG32" i="48"/>
  <c r="AC32" i="48"/>
  <c r="Y32" i="48"/>
  <c r="U32" i="48"/>
  <c r="M32" i="48"/>
  <c r="AW44" i="48"/>
  <c r="AS44" i="48"/>
  <c r="BE32" i="48"/>
  <c r="BE34" i="48"/>
  <c r="BE43" i="48"/>
  <c r="BE44" i="48"/>
  <c r="BA32" i="48"/>
  <c r="BA34" i="48"/>
  <c r="BA43" i="48"/>
  <c r="BA44" i="48"/>
  <c r="BE51" i="48"/>
  <c r="BA51" i="48"/>
  <c r="BD46" i="48"/>
  <c r="BD53" i="48" s="1"/>
  <c r="BC46" i="48"/>
  <c r="BE45" i="48"/>
  <c r="BE38" i="48"/>
  <c r="BE31" i="48"/>
  <c r="BE28" i="48"/>
  <c r="BE27" i="48"/>
  <c r="BE26" i="48"/>
  <c r="BE16" i="48"/>
  <c r="BE15" i="48"/>
  <c r="BE14" i="48"/>
  <c r="AW32" i="48"/>
  <c r="AW34" i="48"/>
  <c r="AW43" i="48"/>
  <c r="AS32" i="48"/>
  <c r="AS34" i="48"/>
  <c r="AS43" i="48"/>
  <c r="AW51" i="48"/>
  <c r="AS51" i="48"/>
  <c r="AR46" i="48"/>
  <c r="AQ46" i="48"/>
  <c r="AQ53" i="48" s="1"/>
  <c r="AZ46" i="48"/>
  <c r="AZ53" i="48" s="1"/>
  <c r="AY46" i="48"/>
  <c r="AY53" i="48" s="1"/>
  <c r="BA45" i="48"/>
  <c r="BA38" i="48"/>
  <c r="BA31" i="48"/>
  <c r="BA28" i="48"/>
  <c r="BA27" i="48"/>
  <c r="BA26" i="48"/>
  <c r="BA16" i="48"/>
  <c r="BA15" i="48"/>
  <c r="BA14" i="48"/>
  <c r="AV46" i="48"/>
  <c r="AV49" i="48" s="1"/>
  <c r="D70" i="48" s="1"/>
  <c r="D181" i="48" s="1"/>
  <c r="D182" i="48" s="1"/>
  <c r="AU46" i="48"/>
  <c r="AU53" i="48" s="1"/>
  <c r="AW45" i="48"/>
  <c r="AW38" i="48"/>
  <c r="AW31" i="48"/>
  <c r="AW28" i="48"/>
  <c r="AW27" i="48"/>
  <c r="AW26" i="48"/>
  <c r="AW16" i="48"/>
  <c r="AW15" i="48"/>
  <c r="AW14" i="48"/>
  <c r="AS38" i="48"/>
  <c r="AS31" i="48"/>
  <c r="AS28" i="48"/>
  <c r="AS27" i="48"/>
  <c r="AS26" i="48"/>
  <c r="AS16" i="48"/>
  <c r="AS15" i="48"/>
  <c r="AS14" i="48"/>
  <c r="AN46" i="48"/>
  <c r="AN53" i="48" s="1"/>
  <c r="AM46" i="48"/>
  <c r="AM53" i="48" s="1"/>
  <c r="AO45" i="48"/>
  <c r="AO38" i="48"/>
  <c r="AO31" i="48"/>
  <c r="AO28" i="48"/>
  <c r="AO26" i="48"/>
  <c r="AO16" i="48"/>
  <c r="AO15" i="48"/>
  <c r="AO14" i="48"/>
  <c r="AK45" i="48"/>
  <c r="AK38" i="48"/>
  <c r="AK31" i="48"/>
  <c r="AJ28" i="48"/>
  <c r="AI28" i="48"/>
  <c r="AK27" i="48"/>
  <c r="AK26" i="48"/>
  <c r="AK16" i="48"/>
  <c r="AK15" i="48"/>
  <c r="AK14" i="48"/>
  <c r="D126" i="32"/>
  <c r="D125" i="32"/>
  <c r="D127" i="32" s="1"/>
  <c r="E127" i="32"/>
  <c r="L127" i="32"/>
  <c r="I127" i="32"/>
  <c r="J127" i="32"/>
  <c r="K127" i="32"/>
  <c r="H127" i="32"/>
  <c r="AZ9" i="28"/>
  <c r="AX9" i="28"/>
  <c r="AV9" i="28"/>
  <c r="AI8" i="28"/>
  <c r="AM8" i="28"/>
  <c r="AQ8" i="28"/>
  <c r="AQ10" i="28"/>
  <c r="AQ11" i="28"/>
  <c r="AQ12" i="28"/>
  <c r="AQ13" i="28"/>
  <c r="AQ14" i="28"/>
  <c r="AQ15" i="28"/>
  <c r="AQ16" i="28"/>
  <c r="AQ17" i="28"/>
  <c r="AQ9" i="28"/>
  <c r="AZ17" i="28"/>
  <c r="AZ16" i="28"/>
  <c r="AZ15" i="28"/>
  <c r="AZ14" i="28"/>
  <c r="AZ13" i="28"/>
  <c r="AZ12" i="28"/>
  <c r="AZ11" i="28"/>
  <c r="AZ10" i="28"/>
  <c r="AX17" i="28"/>
  <c r="AX16" i="28"/>
  <c r="AX15" i="28"/>
  <c r="AX14" i="28"/>
  <c r="AX13" i="28"/>
  <c r="AX12" i="28"/>
  <c r="AX11" i="28"/>
  <c r="AX10" i="28"/>
  <c r="AM9" i="28"/>
  <c r="AM10" i="28"/>
  <c r="AM11" i="28"/>
  <c r="AM12" i="28"/>
  <c r="AM13" i="28"/>
  <c r="AM14" i="28"/>
  <c r="AM15" i="28"/>
  <c r="AM16" i="28"/>
  <c r="AM17" i="28"/>
  <c r="AI9" i="28"/>
  <c r="AI10" i="28"/>
  <c r="AI11" i="28"/>
  <c r="AI12" i="28"/>
  <c r="AI13" i="28"/>
  <c r="AI14" i="28"/>
  <c r="AI15" i="28"/>
  <c r="AH16" i="28"/>
  <c r="AH17" i="28" s="1"/>
  <c r="AI17" i="28" s="1"/>
  <c r="AV15" i="28"/>
  <c r="AV14" i="28"/>
  <c r="AV13" i="28"/>
  <c r="AV12" i="28"/>
  <c r="AV11" i="28"/>
  <c r="AV10" i="28"/>
  <c r="I35" i="10"/>
  <c r="N35" i="10"/>
  <c r="N16" i="10" s="1"/>
  <c r="H35" i="10"/>
  <c r="N87" i="10"/>
  <c r="N86" i="10"/>
  <c r="N88" i="10" s="1"/>
  <c r="I88" i="10" s="1"/>
  <c r="K94" i="32"/>
  <c r="J94" i="32"/>
  <c r="V99" i="32"/>
  <c r="W99" i="32"/>
  <c r="X99" i="32"/>
  <c r="Y99" i="32"/>
  <c r="U99" i="32"/>
  <c r="Z93" i="32"/>
  <c r="Z94" i="32"/>
  <c r="Z95" i="32"/>
  <c r="Z96" i="32"/>
  <c r="Z97" i="32"/>
  <c r="Z98" i="32"/>
  <c r="Z92" i="32"/>
  <c r="AJ40" i="10" l="1"/>
  <c r="AI66" i="10"/>
  <c r="AI42" i="10"/>
  <c r="AC59" i="10"/>
  <c r="AC45" i="10"/>
  <c r="AO53" i="48"/>
  <c r="K24" i="45"/>
  <c r="L24" i="45" s="1"/>
  <c r="AJ11" i="28"/>
  <c r="AR14" i="28"/>
  <c r="D166" i="28"/>
  <c r="L13" i="45"/>
  <c r="AJ12" i="28"/>
  <c r="AN13" i="28"/>
  <c r="E128" i="32"/>
  <c r="E74" i="32" s="1"/>
  <c r="J15" i="45"/>
  <c r="AB105" i="9"/>
  <c r="U108" i="9"/>
  <c r="V108" i="9" s="1"/>
  <c r="AN15" i="28"/>
  <c r="P15" i="45"/>
  <c r="I15" i="45" s="1"/>
  <c r="AO27" i="48"/>
  <c r="BE46" i="48"/>
  <c r="BE49" i="48" s="1"/>
  <c r="AO46" i="48"/>
  <c r="AO49" i="48" s="1"/>
  <c r="BA53" i="48"/>
  <c r="BD49" i="48"/>
  <c r="BC53" i="48"/>
  <c r="BE53" i="48" s="1"/>
  <c r="BC49" i="48"/>
  <c r="AI49" i="48"/>
  <c r="C73" i="48" s="1"/>
  <c r="BA46" i="48"/>
  <c r="BA49" i="48" s="1"/>
  <c r="AZ49" i="48"/>
  <c r="D69" i="48" s="1"/>
  <c r="AR49" i="48"/>
  <c r="D71" i="48" s="1"/>
  <c r="AR53" i="48"/>
  <c r="AS53" i="48" s="1"/>
  <c r="AJ49" i="48"/>
  <c r="D73" i="48" s="1"/>
  <c r="AS45" i="48"/>
  <c r="AS46" i="48"/>
  <c r="AS49" i="48" s="1"/>
  <c r="AN49" i="48"/>
  <c r="D72" i="48" s="1"/>
  <c r="AV53" i="48"/>
  <c r="AW53" i="48" s="1"/>
  <c r="AW46" i="48"/>
  <c r="AW49" i="48" s="1"/>
  <c r="AU49" i="48"/>
  <c r="C70" i="48" s="1"/>
  <c r="AY49" i="48"/>
  <c r="C69" i="48" s="1"/>
  <c r="AQ49" i="48"/>
  <c r="C71" i="48" s="1"/>
  <c r="AM49" i="48"/>
  <c r="C72" i="48" s="1"/>
  <c r="AK46" i="48"/>
  <c r="AK28" i="48"/>
  <c r="AR11" i="28"/>
  <c r="AR9" i="28"/>
  <c r="AJ15" i="28"/>
  <c r="AN14" i="28"/>
  <c r="AR16" i="28"/>
  <c r="AR10" i="28"/>
  <c r="AJ9" i="28"/>
  <c r="AN10" i="28"/>
  <c r="AR13" i="28"/>
  <c r="AN17" i="28"/>
  <c r="AN12" i="28"/>
  <c r="AN9" i="28"/>
  <c r="AN16" i="28"/>
  <c r="AR12" i="28"/>
  <c r="AR15" i="28"/>
  <c r="AJ10" i="28"/>
  <c r="AR17" i="28"/>
  <c r="AN11" i="28"/>
  <c r="AJ13" i="28"/>
  <c r="AI16" i="28"/>
  <c r="AJ16" i="28" s="1"/>
  <c r="AJ14" i="28"/>
  <c r="Z99" i="32"/>
  <c r="AE54" i="10"/>
  <c r="AE55" i="10" s="1"/>
  <c r="AF46" i="48"/>
  <c r="AE46" i="48"/>
  <c r="AG45" i="48"/>
  <c r="AG38" i="48"/>
  <c r="AG31" i="48"/>
  <c r="AF28" i="48"/>
  <c r="AE28" i="48"/>
  <c r="AG16" i="48"/>
  <c r="AG15" i="48"/>
  <c r="AG14" i="48"/>
  <c r="AA46" i="48"/>
  <c r="AC45" i="48"/>
  <c r="AC38" i="48"/>
  <c r="AC31" i="48"/>
  <c r="AC27" i="48"/>
  <c r="AC16" i="48"/>
  <c r="AC15" i="48"/>
  <c r="AC14" i="48"/>
  <c r="L46" i="48"/>
  <c r="K46" i="48"/>
  <c r="M45" i="48"/>
  <c r="M38" i="48"/>
  <c r="M31" i="48"/>
  <c r="L28" i="48"/>
  <c r="K28" i="48"/>
  <c r="M27" i="48"/>
  <c r="M16" i="48"/>
  <c r="M15" i="48"/>
  <c r="M14" i="48"/>
  <c r="O53" i="10"/>
  <c r="T54" i="10" s="1"/>
  <c r="K53" i="10"/>
  <c r="P53" i="10"/>
  <c r="L53" i="10"/>
  <c r="Q53" i="10"/>
  <c r="M53" i="10"/>
  <c r="R53" i="10"/>
  <c r="W54" i="10" s="1"/>
  <c r="S53" i="10"/>
  <c r="X54" i="10" s="1"/>
  <c r="AA19" i="21"/>
  <c r="AA21" i="21" s="1"/>
  <c r="T7" i="21"/>
  <c r="T8" i="21"/>
  <c r="T9" i="21"/>
  <c r="T11" i="21"/>
  <c r="T18" i="21"/>
  <c r="T6" i="21"/>
  <c r="S19" i="21"/>
  <c r="S20" i="21" s="1"/>
  <c r="W14" i="10"/>
  <c r="W15" i="10" s="1"/>
  <c r="W24" i="10" s="1"/>
  <c r="E71" i="48" l="1"/>
  <c r="E72" i="48"/>
  <c r="I72" i="48" s="1"/>
  <c r="E70" i="48"/>
  <c r="E69" i="48"/>
  <c r="I70" i="48" s="1"/>
  <c r="E73" i="48"/>
  <c r="AJ41" i="10"/>
  <c r="AJ42" i="10" s="1"/>
  <c r="AJ66" i="10"/>
  <c r="X56" i="10"/>
  <c r="AB6" i="21"/>
  <c r="AB8" i="21"/>
  <c r="AB20" i="21"/>
  <c r="AB7" i="21"/>
  <c r="AB9" i="21"/>
  <c r="AB14" i="21"/>
  <c r="AB18" i="21"/>
  <c r="Q54" i="10"/>
  <c r="V54" i="10"/>
  <c r="L54" i="10"/>
  <c r="P54" i="10"/>
  <c r="U54" i="10"/>
  <c r="K54" i="10"/>
  <c r="AW48" i="48"/>
  <c r="K15" i="45"/>
  <c r="I160" i="45" s="1"/>
  <c r="AS48" i="48"/>
  <c r="AO48" i="48"/>
  <c r="AK49" i="48"/>
  <c r="AK48" i="48" s="1"/>
  <c r="AC46" i="48"/>
  <c r="AG46" i="48"/>
  <c r="AG28" i="48"/>
  <c r="AJ17" i="28"/>
  <c r="R54" i="10"/>
  <c r="M54" i="10"/>
  <c r="AF49" i="48"/>
  <c r="D80" i="48" s="1"/>
  <c r="D87" i="48" s="1"/>
  <c r="D88" i="48" s="1"/>
  <c r="AB49" i="48"/>
  <c r="D81" i="48" s="1"/>
  <c r="AE49" i="48"/>
  <c r="C80" i="48" s="1"/>
  <c r="C87" i="48" s="1"/>
  <c r="C88" i="48" s="1"/>
  <c r="K49" i="48"/>
  <c r="C84" i="48" s="1"/>
  <c r="L49" i="48"/>
  <c r="D84" i="48" s="1"/>
  <c r="AC28" i="48"/>
  <c r="AA49" i="48"/>
  <c r="C81" i="48" s="1"/>
  <c r="M46" i="48"/>
  <c r="M28" i="48"/>
  <c r="S21" i="21"/>
  <c r="W26" i="10"/>
  <c r="W28" i="10" s="1"/>
  <c r="P54" i="28"/>
  <c r="S119" i="45"/>
  <c r="S121" i="45" s="1"/>
  <c r="G122" i="45"/>
  <c r="I117" i="45"/>
  <c r="D118" i="45"/>
  <c r="J118" i="45" s="1"/>
  <c r="C118" i="45"/>
  <c r="X46" i="48"/>
  <c r="W46" i="48"/>
  <c r="Y45" i="48"/>
  <c r="Y38" i="48"/>
  <c r="Y31" i="48"/>
  <c r="X28" i="48"/>
  <c r="Y27" i="48"/>
  <c r="Y26" i="48"/>
  <c r="Y16" i="48"/>
  <c r="Y15" i="48"/>
  <c r="Y14" i="48"/>
  <c r="T46" i="48"/>
  <c r="S46" i="48"/>
  <c r="U38" i="48"/>
  <c r="U45" i="48"/>
  <c r="U31" i="48"/>
  <c r="T28" i="48"/>
  <c r="S28" i="48"/>
  <c r="U15" i="48"/>
  <c r="U16" i="48"/>
  <c r="U26" i="48"/>
  <c r="U27" i="48"/>
  <c r="U14" i="48"/>
  <c r="P46" i="48"/>
  <c r="O46" i="48"/>
  <c r="Q45" i="48"/>
  <c r="Q38" i="48"/>
  <c r="Q31" i="48"/>
  <c r="Q15" i="48"/>
  <c r="Q16" i="48"/>
  <c r="Q26" i="48"/>
  <c r="Q27" i="48"/>
  <c r="Q14" i="48"/>
  <c r="P28" i="48"/>
  <c r="O28" i="48"/>
  <c r="L128" i="32"/>
  <c r="R19" i="21"/>
  <c r="F30" i="15"/>
  <c r="K561" i="16"/>
  <c r="J556" i="16"/>
  <c r="K559" i="16"/>
  <c r="K558" i="16"/>
  <c r="P12" i="45"/>
  <c r="I12" i="45" s="1"/>
  <c r="J12" i="45"/>
  <c r="J557" i="16"/>
  <c r="P166" i="28"/>
  <c r="P167" i="28" s="1"/>
  <c r="P168" i="28" s="1"/>
  <c r="Q168" i="28" s="1"/>
  <c r="V14" i="10"/>
  <c r="V15" i="10" s="1"/>
  <c r="V24" i="10" s="1"/>
  <c r="J563" i="16"/>
  <c r="J562" i="16"/>
  <c r="BC24" i="15"/>
  <c r="BC19" i="15" s="1"/>
  <c r="BB21" i="15"/>
  <c r="J214" i="16"/>
  <c r="I73" i="48" l="1"/>
  <c r="E81" i="48"/>
  <c r="I71" i="48"/>
  <c r="E180" i="48"/>
  <c r="G180" i="48" s="1"/>
  <c r="C181" i="48"/>
  <c r="C182" i="48" s="1"/>
  <c r="E80" i="48"/>
  <c r="E90" i="48" s="1"/>
  <c r="E91" i="48" s="1"/>
  <c r="E84" i="48"/>
  <c r="W35" i="10"/>
  <c r="W48" i="10"/>
  <c r="AE56" i="10"/>
  <c r="AY81" i="10"/>
  <c r="AZ81" i="10" s="1"/>
  <c r="X45" i="10"/>
  <c r="X46" i="10" s="1"/>
  <c r="L15" i="45"/>
  <c r="U46" i="48"/>
  <c r="AC49" i="48"/>
  <c r="AG49" i="48"/>
  <c r="M49" i="48"/>
  <c r="I50" i="48" s="1"/>
  <c r="X49" i="48"/>
  <c r="D82" i="48" s="1"/>
  <c r="O49" i="48"/>
  <c r="P49" i="48"/>
  <c r="S49" i="48"/>
  <c r="C83" i="48" s="1"/>
  <c r="T49" i="48"/>
  <c r="D83" i="48" s="1"/>
  <c r="Y46" i="48"/>
  <c r="U28" i="48"/>
  <c r="Q46" i="48"/>
  <c r="W16" i="10"/>
  <c r="BC21" i="15"/>
  <c r="V38" i="10"/>
  <c r="S122" i="45"/>
  <c r="S123" i="45" s="1"/>
  <c r="I118" i="45"/>
  <c r="I119" i="45" s="1"/>
  <c r="I121" i="45" s="1"/>
  <c r="J119" i="45"/>
  <c r="J121" i="45" s="1"/>
  <c r="Y28" i="48"/>
  <c r="W49" i="48"/>
  <c r="C82" i="48" s="1"/>
  <c r="Q28" i="48"/>
  <c r="R21" i="21"/>
  <c r="K12" i="45"/>
  <c r="V16" i="10"/>
  <c r="J546" i="16"/>
  <c r="J601" i="16" s="1"/>
  <c r="K552" i="16"/>
  <c r="N136" i="32"/>
  <c r="E136" i="32"/>
  <c r="F136" i="32"/>
  <c r="G136" i="32"/>
  <c r="H136" i="32"/>
  <c r="I136" i="32"/>
  <c r="J136" i="32"/>
  <c r="K136" i="32"/>
  <c r="D136" i="32"/>
  <c r="K96" i="32"/>
  <c r="J96" i="32"/>
  <c r="G128" i="32"/>
  <c r="G74" i="32" s="1"/>
  <c r="H128" i="32"/>
  <c r="H74" i="32" s="1"/>
  <c r="I128" i="32"/>
  <c r="J128" i="32"/>
  <c r="K128" i="32"/>
  <c r="F128" i="32"/>
  <c r="F74" i="32" s="1"/>
  <c r="AP29" i="21"/>
  <c r="AN29" i="21"/>
  <c r="E85" i="32"/>
  <c r="F85" i="32"/>
  <c r="E120" i="32"/>
  <c r="E73" i="32" s="1"/>
  <c r="F120" i="32"/>
  <c r="F73" i="32" s="1"/>
  <c r="G120" i="32"/>
  <c r="G73" i="32" s="1"/>
  <c r="H120" i="32"/>
  <c r="H73" i="32" s="1"/>
  <c r="I120" i="32"/>
  <c r="I73" i="32" s="1"/>
  <c r="J120" i="32"/>
  <c r="J73" i="32" s="1"/>
  <c r="D120" i="32"/>
  <c r="D73" i="32" s="1"/>
  <c r="K118" i="32"/>
  <c r="K120" i="32" s="1"/>
  <c r="K73" i="32" s="1"/>
  <c r="U19" i="21"/>
  <c r="U20" i="21" s="1"/>
  <c r="Q34" i="21"/>
  <c r="Q68" i="21"/>
  <c r="Q46" i="21"/>
  <c r="J24" i="37"/>
  <c r="P24" i="37"/>
  <c r="H24" i="37"/>
  <c r="N24" i="37"/>
  <c r="G24" i="37"/>
  <c r="M24" i="37"/>
  <c r="F24" i="37"/>
  <c r="L24" i="37"/>
  <c r="J17" i="37"/>
  <c r="P17" i="37"/>
  <c r="H17" i="37"/>
  <c r="N17" i="37"/>
  <c r="G17" i="37"/>
  <c r="M17" i="37"/>
  <c r="F17" i="37"/>
  <c r="L17" i="37"/>
  <c r="U14" i="10"/>
  <c r="U15" i="10" s="1"/>
  <c r="I241" i="32"/>
  <c r="I242" i="32"/>
  <c r="I243" i="32"/>
  <c r="I240" i="32"/>
  <c r="I235" i="32"/>
  <c r="I236" i="32"/>
  <c r="P244" i="32"/>
  <c r="N244" i="32"/>
  <c r="M244" i="32"/>
  <c r="H244" i="32"/>
  <c r="G244" i="32"/>
  <c r="F244" i="32"/>
  <c r="E244" i="32"/>
  <c r="D244" i="32"/>
  <c r="O242" i="32"/>
  <c r="O244" i="32" s="1"/>
  <c r="P237" i="32"/>
  <c r="O237" i="32"/>
  <c r="N237" i="32"/>
  <c r="M234" i="32"/>
  <c r="M237" i="32" s="1"/>
  <c r="H234" i="32"/>
  <c r="H237" i="32" s="1"/>
  <c r="G234" i="32"/>
  <c r="G237" i="32" s="1"/>
  <c r="F234" i="32"/>
  <c r="F237" i="32" s="1"/>
  <c r="E234" i="32"/>
  <c r="E237" i="32" s="1"/>
  <c r="D234" i="32"/>
  <c r="D237" i="32" s="1"/>
  <c r="C124" i="9"/>
  <c r="D123" i="9"/>
  <c r="E123" i="9"/>
  <c r="I60" i="28"/>
  <c r="K60" i="28" s="1"/>
  <c r="E184" i="48" l="1"/>
  <c r="E185" i="48" s="1"/>
  <c r="E187" i="48"/>
  <c r="I81" i="48"/>
  <c r="I80" i="48"/>
  <c r="H85" i="48"/>
  <c r="I85" i="48"/>
  <c r="E83" i="48"/>
  <c r="E82" i="48"/>
  <c r="AE45" i="10"/>
  <c r="AE46" i="10" s="1"/>
  <c r="AY82" i="10"/>
  <c r="Q107" i="32"/>
  <c r="Q109" i="32" s="1"/>
  <c r="Q112" i="32" s="1"/>
  <c r="U16" i="10"/>
  <c r="U24" i="10"/>
  <c r="L12" i="45"/>
  <c r="E98" i="32"/>
  <c r="E95" i="32"/>
  <c r="E108" i="32"/>
  <c r="O108" i="32"/>
  <c r="P107" i="32"/>
  <c r="E107" i="32"/>
  <c r="G94" i="32"/>
  <c r="H107" i="32"/>
  <c r="P108" i="32"/>
  <c r="O107" i="32"/>
  <c r="O109" i="32" s="1"/>
  <c r="O112" i="32" s="1"/>
  <c r="F94" i="32"/>
  <c r="E94" i="32"/>
  <c r="E96" i="32" s="1"/>
  <c r="E99" i="32" s="1"/>
  <c r="K65" i="32"/>
  <c r="H94" i="32"/>
  <c r="F95" i="32"/>
  <c r="J26" i="37"/>
  <c r="G26" i="37"/>
  <c r="H26" i="37"/>
  <c r="Q49" i="48"/>
  <c r="U49" i="48"/>
  <c r="AC50" i="48"/>
  <c r="AC51" i="48" s="1"/>
  <c r="P26" i="37"/>
  <c r="M26" i="37"/>
  <c r="L26" i="37"/>
  <c r="F26" i="37"/>
  <c r="N26" i="37"/>
  <c r="I17" i="37"/>
  <c r="E246" i="32"/>
  <c r="I122" i="45"/>
  <c r="I123" i="45" s="1"/>
  <c r="J75" i="32"/>
  <c r="N137" i="32"/>
  <c r="W55" i="10"/>
  <c r="Y49" i="48"/>
  <c r="Y50" i="48" s="1"/>
  <c r="Y51" i="48" s="1"/>
  <c r="Q19" i="21"/>
  <c r="Q20" i="21" s="1"/>
  <c r="T19" i="21"/>
  <c r="T20" i="21" s="1"/>
  <c r="V26" i="10"/>
  <c r="V28" i="10" s="1"/>
  <c r="J122" i="45"/>
  <c r="K118" i="45"/>
  <c r="L118" i="45" s="1"/>
  <c r="K121" i="45"/>
  <c r="L121" i="45" s="1"/>
  <c r="K119" i="45"/>
  <c r="L119" i="45" s="1"/>
  <c r="D246" i="32"/>
  <c r="G246" i="32"/>
  <c r="H246" i="32"/>
  <c r="I234" i="32"/>
  <c r="N246" i="32"/>
  <c r="O246" i="32"/>
  <c r="P246" i="32"/>
  <c r="AP30" i="21"/>
  <c r="Q70" i="21"/>
  <c r="I24" i="37"/>
  <c r="M246" i="32"/>
  <c r="I244" i="32"/>
  <c r="F246" i="32"/>
  <c r="H84" i="48" l="1"/>
  <c r="H83" i="48"/>
  <c r="I82" i="48"/>
  <c r="H87" i="48"/>
  <c r="H88" i="48" s="1"/>
  <c r="I84" i="48"/>
  <c r="I83" i="48"/>
  <c r="I51" i="48"/>
  <c r="V35" i="10"/>
  <c r="V48" i="10"/>
  <c r="Q50" i="48"/>
  <c r="F96" i="32"/>
  <c r="E109" i="32"/>
  <c r="F107" i="32" s="1"/>
  <c r="H109" i="32"/>
  <c r="P109" i="32"/>
  <c r="P112" i="32" s="1"/>
  <c r="F108" i="32"/>
  <c r="W56" i="10"/>
  <c r="W45" i="10" s="1"/>
  <c r="M50" i="48"/>
  <c r="I26" i="37"/>
  <c r="G96" i="32"/>
  <c r="H96" i="32"/>
  <c r="K122" i="45"/>
  <c r="L122" i="45" s="1"/>
  <c r="U50" i="48"/>
  <c r="Q21" i="21"/>
  <c r="T21" i="21"/>
  <c r="J123" i="45"/>
  <c r="K123" i="45" s="1"/>
  <c r="L123" i="45" s="1"/>
  <c r="U26" i="10"/>
  <c r="U28" i="10" s="1"/>
  <c r="U38" i="10"/>
  <c r="I237" i="32"/>
  <c r="I53" i="28"/>
  <c r="Q51" i="48" l="1"/>
  <c r="U35" i="10"/>
  <c r="U48" i="10"/>
  <c r="I108" i="32"/>
  <c r="I105" i="32"/>
  <c r="I104" i="32"/>
  <c r="I106" i="32"/>
  <c r="I107" i="32"/>
  <c r="F106" i="32"/>
  <c r="F104" i="32"/>
  <c r="F105" i="32"/>
  <c r="K53" i="28"/>
  <c r="D53" i="28" s="1"/>
  <c r="D54" i="28" s="1"/>
  <c r="C53" i="28"/>
  <c r="M51" i="48"/>
  <c r="M53" i="48"/>
  <c r="U51" i="48"/>
  <c r="J53" i="28"/>
  <c r="I246" i="32"/>
  <c r="M54" i="48" l="1"/>
  <c r="V166" i="28"/>
  <c r="Y166" i="28"/>
  <c r="AB155" i="28"/>
  <c r="AB157" i="28"/>
  <c r="AB158" i="28"/>
  <c r="AB159" i="28"/>
  <c r="D53" i="45"/>
  <c r="AA53" i="45"/>
  <c r="G209" i="32"/>
  <c r="G211" i="32" s="1"/>
  <c r="D209" i="32"/>
  <c r="D211" i="32" s="1"/>
  <c r="I196" i="32"/>
  <c r="J196" i="32" s="1"/>
  <c r="I195" i="32"/>
  <c r="J195" i="32" s="1"/>
  <c r="I190" i="32"/>
  <c r="J190" i="32" s="1"/>
  <c r="I189" i="32"/>
  <c r="J189" i="32" s="1"/>
  <c r="I186" i="32"/>
  <c r="J186" i="32" s="1"/>
  <c r="F188" i="32"/>
  <c r="G188" i="32" s="1"/>
  <c r="D188" i="32"/>
  <c r="E188" i="32" s="1"/>
  <c r="I187" i="32"/>
  <c r="J187" i="32" s="1"/>
  <c r="P164" i="32"/>
  <c r="P163" i="32"/>
  <c r="P162" i="32"/>
  <c r="I180" i="32"/>
  <c r="J180" i="32" s="1"/>
  <c r="I181" i="32"/>
  <c r="J181" i="32" s="1"/>
  <c r="I179" i="32"/>
  <c r="J179" i="32" s="1"/>
  <c r="E174" i="32"/>
  <c r="E164" i="32"/>
  <c r="F164" i="32"/>
  <c r="G164" i="32"/>
  <c r="H164" i="32"/>
  <c r="I164" i="32"/>
  <c r="D164" i="32"/>
  <c r="J163" i="32"/>
  <c r="U163" i="32"/>
  <c r="U164" i="32" s="1"/>
  <c r="T163" i="32"/>
  <c r="T164" i="32" s="1"/>
  <c r="S163" i="32"/>
  <c r="S164" i="32" s="1"/>
  <c r="I162" i="32"/>
  <c r="H162" i="32"/>
  <c r="G162" i="32"/>
  <c r="F162" i="32"/>
  <c r="E162" i="32"/>
  <c r="D162" i="32"/>
  <c r="J122" i="9"/>
  <c r="K122" i="9" s="1"/>
  <c r="P165" i="32" l="1"/>
  <c r="Q163" i="32" s="1"/>
  <c r="F198" i="32"/>
  <c r="I188" i="32"/>
  <c r="J188" i="32" s="1"/>
  <c r="I165" i="32"/>
  <c r="J164" i="32"/>
  <c r="G165" i="32"/>
  <c r="E165" i="32"/>
  <c r="H165" i="32"/>
  <c r="J162" i="32"/>
  <c r="F165" i="32"/>
  <c r="D165" i="32"/>
  <c r="N226" i="32"/>
  <c r="L226" i="32"/>
  <c r="E226" i="32"/>
  <c r="F226" i="32"/>
  <c r="G226" i="32"/>
  <c r="H226" i="32"/>
  <c r="I226" i="32"/>
  <c r="D226" i="32"/>
  <c r="N219" i="32"/>
  <c r="M219" i="32"/>
  <c r="L219" i="32"/>
  <c r="J225" i="32"/>
  <c r="M224" i="32"/>
  <c r="M226" i="32" s="1"/>
  <c r="J224" i="32"/>
  <c r="J223" i="32"/>
  <c r="J222" i="32"/>
  <c r="J218" i="32"/>
  <c r="J217" i="32"/>
  <c r="I216" i="32"/>
  <c r="I219" i="32" s="1"/>
  <c r="H216" i="32"/>
  <c r="H219" i="32" s="1"/>
  <c r="G216" i="32"/>
  <c r="G219" i="32" s="1"/>
  <c r="F216" i="32"/>
  <c r="F219" i="32" s="1"/>
  <c r="E216" i="32"/>
  <c r="E219" i="32" s="1"/>
  <c r="D216" i="32"/>
  <c r="D219" i="32" s="1"/>
  <c r="P157" i="32"/>
  <c r="Q151" i="32" s="1"/>
  <c r="N157" i="32"/>
  <c r="N145" i="32" s="1"/>
  <c r="N146" i="32" s="1"/>
  <c r="E157" i="32"/>
  <c r="F157" i="32"/>
  <c r="F145" i="32" s="1"/>
  <c r="G157" i="32"/>
  <c r="G145" i="32" s="1"/>
  <c r="H157" i="32"/>
  <c r="H145" i="32" s="1"/>
  <c r="I157" i="32"/>
  <c r="I145" i="32" s="1"/>
  <c r="D157" i="32"/>
  <c r="D145" i="32" s="1"/>
  <c r="J151" i="32"/>
  <c r="J152" i="32"/>
  <c r="J153" i="32"/>
  <c r="J154" i="32"/>
  <c r="J155" i="32"/>
  <c r="J156" i="32"/>
  <c r="I144" i="32"/>
  <c r="H144" i="32"/>
  <c r="G144" i="32"/>
  <c r="F144" i="32"/>
  <c r="E144" i="32"/>
  <c r="D144" i="32"/>
  <c r="G228" i="32" l="1"/>
  <c r="D228" i="32"/>
  <c r="Q162" i="32"/>
  <c r="Q164" i="32"/>
  <c r="Q165" i="32"/>
  <c r="F200" i="32"/>
  <c r="G198" i="32" s="1"/>
  <c r="D199" i="32"/>
  <c r="D197" i="32"/>
  <c r="J165" i="32"/>
  <c r="K162" i="32" s="1"/>
  <c r="D171" i="32" s="1"/>
  <c r="N228" i="32"/>
  <c r="F228" i="32"/>
  <c r="H228" i="32"/>
  <c r="I228" i="32"/>
  <c r="M228" i="32"/>
  <c r="L228" i="32"/>
  <c r="E228" i="32"/>
  <c r="H146" i="32"/>
  <c r="Q153" i="32"/>
  <c r="Q154" i="32"/>
  <c r="F146" i="32"/>
  <c r="I146" i="32"/>
  <c r="Q156" i="32"/>
  <c r="J157" i="32"/>
  <c r="K157" i="32" s="1"/>
  <c r="Q155" i="32"/>
  <c r="Q157" i="32"/>
  <c r="D146" i="32"/>
  <c r="J226" i="32"/>
  <c r="G146" i="32"/>
  <c r="E145" i="32"/>
  <c r="E146" i="32" s="1"/>
  <c r="J216" i="32"/>
  <c r="Q152" i="32"/>
  <c r="P145" i="32"/>
  <c r="J144" i="32"/>
  <c r="O223" i="32" l="1"/>
  <c r="Q241" i="32"/>
  <c r="Q240" i="32"/>
  <c r="Q243" i="32"/>
  <c r="Q234" i="32"/>
  <c r="Q236" i="32"/>
  <c r="Q242" i="32"/>
  <c r="Q235" i="32"/>
  <c r="Q244" i="32"/>
  <c r="Q237" i="32"/>
  <c r="Q246" i="32"/>
  <c r="K163" i="32"/>
  <c r="D172" i="32" s="1"/>
  <c r="D198" i="32"/>
  <c r="I197" i="32"/>
  <c r="K164" i="32"/>
  <c r="D173" i="32" s="1"/>
  <c r="D174" i="32" s="1"/>
  <c r="I199" i="32"/>
  <c r="J199" i="32" s="1"/>
  <c r="G200" i="32"/>
  <c r="G196" i="32"/>
  <c r="E207" i="32" s="1"/>
  <c r="G195" i="32"/>
  <c r="E206" i="32" s="1"/>
  <c r="G199" i="32"/>
  <c r="E210" i="32" s="1"/>
  <c r="G197" i="32"/>
  <c r="E208" i="32" s="1"/>
  <c r="O217" i="32"/>
  <c r="O222" i="32"/>
  <c r="O218" i="32"/>
  <c r="O216" i="32"/>
  <c r="O228" i="32"/>
  <c r="O219" i="32"/>
  <c r="O226" i="32"/>
  <c r="O225" i="32"/>
  <c r="O224" i="32"/>
  <c r="K152" i="32"/>
  <c r="K151" i="32"/>
  <c r="K156" i="32"/>
  <c r="K154" i="32"/>
  <c r="J145" i="32"/>
  <c r="J146" i="32" s="1"/>
  <c r="K153" i="32"/>
  <c r="K155" i="32"/>
  <c r="J219" i="32"/>
  <c r="P146" i="32"/>
  <c r="O155" i="32"/>
  <c r="O157" i="32" s="1"/>
  <c r="O145" i="32" s="1"/>
  <c r="O146" i="32" s="1"/>
  <c r="J137" i="9"/>
  <c r="J136" i="9"/>
  <c r="L137" i="9"/>
  <c r="H137" i="9"/>
  <c r="L136" i="9"/>
  <c r="E137" i="9"/>
  <c r="H136" i="9"/>
  <c r="C137" i="9"/>
  <c r="D134" i="9"/>
  <c r="D137" i="9" s="1"/>
  <c r="J213" i="28"/>
  <c r="M205" i="28"/>
  <c r="Q201" i="28"/>
  <c r="Q202" i="28"/>
  <c r="Q203" i="28"/>
  <c r="Q200" i="28"/>
  <c r="I205" i="28"/>
  <c r="J205" i="28" s="1"/>
  <c r="H191" i="28"/>
  <c r="J191" i="28" s="1"/>
  <c r="H192" i="28"/>
  <c r="J192" i="28" s="1"/>
  <c r="H190" i="28"/>
  <c r="V165" i="28"/>
  <c r="Y165" i="28"/>
  <c r="Y164" i="28"/>
  <c r="V164" i="28"/>
  <c r="D164" i="28" s="1"/>
  <c r="V163" i="28"/>
  <c r="D163" i="28" s="1"/>
  <c r="Y163" i="28"/>
  <c r="V162" i="28"/>
  <c r="D162" i="28" s="1"/>
  <c r="Y162" i="28"/>
  <c r="Y161" i="28"/>
  <c r="V161" i="28"/>
  <c r="D161" i="28" s="1"/>
  <c r="L160" i="28"/>
  <c r="O160" i="28" s="1"/>
  <c r="Q160" i="28" s="1"/>
  <c r="Y160" i="28"/>
  <c r="V160" i="28"/>
  <c r="L159" i="28"/>
  <c r="O159" i="28" s="1"/>
  <c r="Y159" i="28"/>
  <c r="V159" i="28"/>
  <c r="Y158" i="28"/>
  <c r="V158" i="28"/>
  <c r="L158" i="28"/>
  <c r="O158" i="28" s="1"/>
  <c r="Q158" i="28" s="1"/>
  <c r="U156" i="28"/>
  <c r="U155" i="28"/>
  <c r="Y157" i="28"/>
  <c r="V157" i="28" s="1"/>
  <c r="Y156" i="28"/>
  <c r="L157" i="28"/>
  <c r="O157" i="28" s="1"/>
  <c r="Q157" i="28" s="1"/>
  <c r="L155" i="28"/>
  <c r="O155" i="28" s="1"/>
  <c r="Q155" i="28" s="1"/>
  <c r="L156" i="28"/>
  <c r="O156" i="28" s="1"/>
  <c r="Q156" i="28" s="1"/>
  <c r="K540" i="16"/>
  <c r="K601" i="16" s="1"/>
  <c r="J52" i="34"/>
  <c r="I52" i="34"/>
  <c r="I51" i="34" s="1"/>
  <c r="H52" i="34"/>
  <c r="H51" i="34" s="1"/>
  <c r="G52" i="34"/>
  <c r="G51" i="34" s="1"/>
  <c r="F52" i="34"/>
  <c r="F51" i="34" s="1"/>
  <c r="E52" i="34"/>
  <c r="E51" i="34" s="1"/>
  <c r="D52" i="34"/>
  <c r="J51" i="34"/>
  <c r="K50" i="34"/>
  <c r="E22" i="34"/>
  <c r="T72" i="28"/>
  <c r="T136" i="28"/>
  <c r="H19" i="28"/>
  <c r="I19" i="28" s="1"/>
  <c r="E104" i="9"/>
  <c r="D104" i="9"/>
  <c r="D122" i="9"/>
  <c r="BC80" i="10"/>
  <c r="AY25" i="10"/>
  <c r="E16" i="28"/>
  <c r="E17" i="28" s="1"/>
  <c r="AT126" i="45"/>
  <c r="P107" i="45"/>
  <c r="K107" i="45"/>
  <c r="P106" i="45"/>
  <c r="K106" i="45"/>
  <c r="L106" i="45" s="1"/>
  <c r="P105" i="45"/>
  <c r="K105" i="45"/>
  <c r="P104" i="45"/>
  <c r="K104" i="45"/>
  <c r="J94" i="45"/>
  <c r="J96" i="45" s="1"/>
  <c r="P94" i="45"/>
  <c r="I94" i="45" s="1"/>
  <c r="I195" i="45" s="1"/>
  <c r="P69" i="45"/>
  <c r="P79" i="45"/>
  <c r="AS79" i="45"/>
  <c r="P82" i="45"/>
  <c r="D82" i="45"/>
  <c r="C82" i="45"/>
  <c r="S77" i="45"/>
  <c r="M77" i="45" s="1"/>
  <c r="M87" i="45" s="1"/>
  <c r="AS76" i="45"/>
  <c r="J76" i="45"/>
  <c r="P76" i="45"/>
  <c r="I76" i="45" s="1"/>
  <c r="M72" i="45"/>
  <c r="P68" i="45"/>
  <c r="D68" i="45"/>
  <c r="C68" i="45"/>
  <c r="AS68" i="45" s="1"/>
  <c r="AS66" i="45"/>
  <c r="J66" i="45"/>
  <c r="P66" i="45"/>
  <c r="I66" i="45" s="1"/>
  <c r="P67" i="45"/>
  <c r="I67" i="45" s="1"/>
  <c r="J67" i="45"/>
  <c r="BC62" i="45"/>
  <c r="BA62" i="45"/>
  <c r="AZ62" i="45"/>
  <c r="BC63" i="45"/>
  <c r="BA63" i="45"/>
  <c r="AZ63" i="45"/>
  <c r="AV63" i="45"/>
  <c r="AS63" i="45"/>
  <c r="J63" i="45"/>
  <c r="P63" i="45"/>
  <c r="I63" i="45" s="1"/>
  <c r="AS58" i="45"/>
  <c r="AS57" i="45"/>
  <c r="J57" i="45"/>
  <c r="P57" i="45"/>
  <c r="I57" i="45" s="1"/>
  <c r="I194" i="45" s="1"/>
  <c r="AK53" i="45"/>
  <c r="AJ53" i="45"/>
  <c r="AI53" i="45"/>
  <c r="AH53" i="45"/>
  <c r="AG53" i="45"/>
  <c r="AF53" i="45"/>
  <c r="AE53" i="45"/>
  <c r="AC53" i="45"/>
  <c r="AB53" i="45"/>
  <c r="U53" i="45"/>
  <c r="Q53" i="45"/>
  <c r="P53" i="45"/>
  <c r="J53" i="45"/>
  <c r="I53" i="45"/>
  <c r="AX51" i="45"/>
  <c r="AW51" i="45"/>
  <c r="AX52" i="45" s="1"/>
  <c r="AX49" i="45"/>
  <c r="AY49" i="45" s="1"/>
  <c r="I44" i="45"/>
  <c r="K43" i="45"/>
  <c r="L43" i="45" s="1"/>
  <c r="K41" i="45"/>
  <c r="L41" i="45" s="1"/>
  <c r="K40" i="45"/>
  <c r="L40" i="45" s="1"/>
  <c r="J30" i="45"/>
  <c r="P30" i="45"/>
  <c r="I30" i="45" s="1"/>
  <c r="J28" i="45"/>
  <c r="P28" i="45"/>
  <c r="I28" i="45" s="1"/>
  <c r="J33" i="45"/>
  <c r="P33" i="45"/>
  <c r="I33" i="45" s="1"/>
  <c r="J27" i="45"/>
  <c r="P27" i="45"/>
  <c r="I27" i="45" s="1"/>
  <c r="J29" i="45"/>
  <c r="P29" i="45"/>
  <c r="I29" i="45" s="1"/>
  <c r="P26" i="45"/>
  <c r="I26" i="45" s="1"/>
  <c r="J26" i="45"/>
  <c r="J32" i="45"/>
  <c r="P32" i="45"/>
  <c r="I32" i="45" s="1"/>
  <c r="P23" i="45"/>
  <c r="P14" i="45"/>
  <c r="AS16" i="45"/>
  <c r="J16" i="45"/>
  <c r="P16" i="45"/>
  <c r="I16" i="45" s="1"/>
  <c r="AS21" i="45"/>
  <c r="J21" i="45"/>
  <c r="P21" i="45"/>
  <c r="I21" i="45" s="1"/>
  <c r="P8" i="45"/>
  <c r="AS9" i="45"/>
  <c r="AP9" i="45"/>
  <c r="AO9" i="45"/>
  <c r="AN9" i="45"/>
  <c r="AM9" i="45"/>
  <c r="AL9" i="45"/>
  <c r="AK9" i="45"/>
  <c r="J9" i="45"/>
  <c r="P9" i="45"/>
  <c r="I9" i="45" s="1"/>
  <c r="P11" i="45"/>
  <c r="J11" i="45"/>
  <c r="C11" i="45"/>
  <c r="I84" i="45" l="1"/>
  <c r="K84" i="45" s="1"/>
  <c r="L84" i="45" s="1"/>
  <c r="AS84" i="45"/>
  <c r="J69" i="45"/>
  <c r="G105" i="9"/>
  <c r="K52" i="34"/>
  <c r="K49" i="34" s="1"/>
  <c r="I197" i="45"/>
  <c r="AH165" i="28"/>
  <c r="D165" i="28"/>
  <c r="E209" i="32"/>
  <c r="E211" i="32" s="1"/>
  <c r="I82" i="45"/>
  <c r="Q159" i="28"/>
  <c r="J61" i="45"/>
  <c r="K16" i="45"/>
  <c r="I69" i="45"/>
  <c r="J8" i="45"/>
  <c r="I23" i="45"/>
  <c r="I36" i="45" s="1"/>
  <c r="K32" i="45"/>
  <c r="L32" i="45" s="1"/>
  <c r="AS46" i="45"/>
  <c r="J23" i="45"/>
  <c r="J36" i="45" s="1"/>
  <c r="J68" i="45"/>
  <c r="K30" i="45"/>
  <c r="L30" i="45" s="1"/>
  <c r="AS77" i="45"/>
  <c r="K66" i="45"/>
  <c r="I68" i="45"/>
  <c r="K27" i="45"/>
  <c r="L27" i="45" s="1"/>
  <c r="I11" i="45"/>
  <c r="K11" i="45" s="1"/>
  <c r="I157" i="45" s="1"/>
  <c r="K21" i="45"/>
  <c r="I156" i="45" s="1"/>
  <c r="I14" i="45"/>
  <c r="K26" i="45"/>
  <c r="L26" i="45" s="1"/>
  <c r="I79" i="45"/>
  <c r="J14" i="45"/>
  <c r="I8" i="45"/>
  <c r="K67" i="45"/>
  <c r="L67" i="45" s="1"/>
  <c r="K33" i="45"/>
  <c r="L33" i="45" s="1"/>
  <c r="J44" i="45"/>
  <c r="K44" i="45" s="1"/>
  <c r="L44" i="45" s="1"/>
  <c r="J82" i="45"/>
  <c r="J197" i="32"/>
  <c r="I198" i="32"/>
  <c r="D200" i="32"/>
  <c r="K144" i="32"/>
  <c r="K165" i="32"/>
  <c r="Q145" i="32"/>
  <c r="V162" i="32"/>
  <c r="V164" i="32"/>
  <c r="V163" i="32"/>
  <c r="J228" i="32"/>
  <c r="K219" i="32" s="1"/>
  <c r="Q146" i="32"/>
  <c r="Q144" i="32"/>
  <c r="K146" i="32"/>
  <c r="K145" i="32"/>
  <c r="Q204" i="28"/>
  <c r="R204" i="28" s="1"/>
  <c r="L191" i="28"/>
  <c r="H193" i="28"/>
  <c r="L190" i="28"/>
  <c r="L189" i="28"/>
  <c r="L192" i="28"/>
  <c r="J190" i="28"/>
  <c r="G161" i="28"/>
  <c r="L161" i="28" s="1"/>
  <c r="D51" i="34"/>
  <c r="K51" i="34" s="1"/>
  <c r="K28" i="45"/>
  <c r="L28" i="45" s="1"/>
  <c r="BB63" i="45"/>
  <c r="K63" i="45"/>
  <c r="K57" i="45"/>
  <c r="I155" i="45" s="1"/>
  <c r="BB62" i="45"/>
  <c r="K76" i="45"/>
  <c r="I158" i="45" s="1"/>
  <c r="K94" i="45"/>
  <c r="I163" i="45" s="1"/>
  <c r="I96" i="45"/>
  <c r="K9" i="45"/>
  <c r="I159" i="45" s="1"/>
  <c r="K29" i="45"/>
  <c r="L29" i="45" s="1"/>
  <c r="AS72" i="45"/>
  <c r="AS23" i="45"/>
  <c r="P77" i="45"/>
  <c r="P61" i="45"/>
  <c r="I61" i="45" s="1"/>
  <c r="AS82" i="45"/>
  <c r="AY51" i="45"/>
  <c r="AZ51" i="45" s="1"/>
  <c r="AV76" i="45"/>
  <c r="G294" i="16"/>
  <c r="G302" i="16" s="1"/>
  <c r="T34" i="43"/>
  <c r="W27" i="43"/>
  <c r="V51" i="43"/>
  <c r="U51" i="43"/>
  <c r="W50" i="43"/>
  <c r="W49" i="43"/>
  <c r="W48" i="43"/>
  <c r="W47" i="43"/>
  <c r="R51" i="43"/>
  <c r="Q51" i="43"/>
  <c r="S50" i="43"/>
  <c r="S49" i="43"/>
  <c r="S48" i="43"/>
  <c r="S47" i="43"/>
  <c r="O51" i="43"/>
  <c r="N51" i="43"/>
  <c r="P50" i="43"/>
  <c r="P49" i="43"/>
  <c r="P48" i="43"/>
  <c r="P47" i="43"/>
  <c r="J34" i="43"/>
  <c r="J33" i="43"/>
  <c r="M48" i="43"/>
  <c r="M49" i="43"/>
  <c r="M50" i="43"/>
  <c r="M47" i="43"/>
  <c r="J48" i="43"/>
  <c r="J49" i="43"/>
  <c r="J50" i="43"/>
  <c r="J47" i="43"/>
  <c r="L51" i="43"/>
  <c r="I51" i="43"/>
  <c r="K51" i="43"/>
  <c r="H51" i="43"/>
  <c r="H75" i="43"/>
  <c r="J75" i="43"/>
  <c r="Y28" i="15"/>
  <c r="Y29" i="15"/>
  <c r="Y27" i="15"/>
  <c r="Y26" i="15"/>
  <c r="Y25" i="15"/>
  <c r="Y24" i="15"/>
  <c r="Y23" i="15"/>
  <c r="Y34" i="15"/>
  <c r="Y33" i="15"/>
  <c r="D109" i="15"/>
  <c r="F103" i="15"/>
  <c r="F102" i="15"/>
  <c r="F101" i="15"/>
  <c r="F100" i="15"/>
  <c r="F99" i="15"/>
  <c r="F98" i="15"/>
  <c r="F97" i="15"/>
  <c r="F96" i="15"/>
  <c r="E103" i="15"/>
  <c r="K111" i="15"/>
  <c r="K239" i="15"/>
  <c r="J239" i="15"/>
  <c r="K69" i="45" l="1"/>
  <c r="L69" i="45" s="1"/>
  <c r="L66" i="45"/>
  <c r="F113" i="15"/>
  <c r="F112" i="15" s="1"/>
  <c r="K79" i="45"/>
  <c r="I165" i="45" s="1"/>
  <c r="H195" i="28"/>
  <c r="I110" i="45"/>
  <c r="J235" i="32"/>
  <c r="J241" i="32"/>
  <c r="J243" i="32"/>
  <c r="J236" i="32"/>
  <c r="J240" i="32"/>
  <c r="J242" i="32"/>
  <c r="J244" i="32"/>
  <c r="J234" i="32"/>
  <c r="J237" i="32"/>
  <c r="J246" i="32"/>
  <c r="L11" i="45"/>
  <c r="L16" i="45"/>
  <c r="L76" i="45"/>
  <c r="L63" i="45"/>
  <c r="J72" i="45"/>
  <c r="K23" i="45"/>
  <c r="L23" i="45" s="1"/>
  <c r="K61" i="45"/>
  <c r="L61" i="45" s="1"/>
  <c r="K14" i="45"/>
  <c r="K68" i="45"/>
  <c r="L68" i="45" s="1"/>
  <c r="K8" i="45"/>
  <c r="I164" i="45" s="1"/>
  <c r="J87" i="45"/>
  <c r="I72" i="45"/>
  <c r="U73" i="45" s="1"/>
  <c r="I87" i="45"/>
  <c r="I141" i="45" s="1"/>
  <c r="K82" i="45"/>
  <c r="J110" i="45"/>
  <c r="L21" i="45"/>
  <c r="I200" i="32"/>
  <c r="J200" i="32" s="1"/>
  <c r="J198" i="32"/>
  <c r="E200" i="32"/>
  <c r="E195" i="32"/>
  <c r="E196" i="32"/>
  <c r="E197" i="32"/>
  <c r="E199" i="32"/>
  <c r="E198" i="32"/>
  <c r="K228" i="32"/>
  <c r="K223" i="32"/>
  <c r="K224" i="32"/>
  <c r="K225" i="32"/>
  <c r="K217" i="32"/>
  <c r="K218" i="32"/>
  <c r="K222" i="32"/>
  <c r="K216" i="32"/>
  <c r="K226" i="32"/>
  <c r="O161" i="28"/>
  <c r="Q161" i="28" s="1"/>
  <c r="G162" i="28"/>
  <c r="L162" i="28" s="1"/>
  <c r="K96" i="45"/>
  <c r="L57" i="45"/>
  <c r="L9" i="45"/>
  <c r="S51" i="43"/>
  <c r="P51" i="43"/>
  <c r="J51" i="43"/>
  <c r="M51" i="43"/>
  <c r="W51" i="43"/>
  <c r="L14" i="45" l="1"/>
  <c r="I162" i="45"/>
  <c r="L79" i="45"/>
  <c r="AA73" i="45"/>
  <c r="V73" i="45"/>
  <c r="AH72" i="45"/>
  <c r="I184" i="45"/>
  <c r="AK87" i="45"/>
  <c r="I185" i="45"/>
  <c r="L82" i="45"/>
  <c r="K110" i="45"/>
  <c r="J148" i="45"/>
  <c r="AK72" i="45"/>
  <c r="AE72" i="45"/>
  <c r="AG72" i="45"/>
  <c r="AF72" i="45"/>
  <c r="AJ72" i="45"/>
  <c r="AI72" i="45"/>
  <c r="K72" i="45"/>
  <c r="U72" i="45" s="1"/>
  <c r="I140" i="45"/>
  <c r="I148" i="45"/>
  <c r="L8" i="45"/>
  <c r="AH87" i="45"/>
  <c r="AF87" i="45"/>
  <c r="AG87" i="45"/>
  <c r="AE87" i="45"/>
  <c r="J149" i="45"/>
  <c r="AI87" i="45"/>
  <c r="K87" i="45"/>
  <c r="K149" i="45" s="1"/>
  <c r="M149" i="45" s="1"/>
  <c r="AJ87" i="45"/>
  <c r="I149" i="45"/>
  <c r="U88" i="45"/>
  <c r="V88" i="45" s="1"/>
  <c r="O162" i="28"/>
  <c r="G163" i="28"/>
  <c r="L163" i="28" s="1"/>
  <c r="AB73" i="45"/>
  <c r="U96" i="45"/>
  <c r="T74" i="32"/>
  <c r="T73" i="32"/>
  <c r="T72" i="32"/>
  <c r="H85" i="32"/>
  <c r="I85" i="32"/>
  <c r="J85" i="32"/>
  <c r="K85" i="32"/>
  <c r="K66" i="32" s="1"/>
  <c r="L85" i="32"/>
  <c r="G85" i="32"/>
  <c r="BE15" i="21"/>
  <c r="BD15" i="21"/>
  <c r="P18" i="21"/>
  <c r="P16" i="21"/>
  <c r="P11" i="21"/>
  <c r="P9" i="21"/>
  <c r="P7" i="21"/>
  <c r="P6" i="21"/>
  <c r="P34" i="21"/>
  <c r="H30" i="15"/>
  <c r="G30" i="15"/>
  <c r="E30" i="15"/>
  <c r="I29" i="15"/>
  <c r="E242" i="15" s="1"/>
  <c r="I28" i="15"/>
  <c r="E241" i="15" s="1"/>
  <c r="I27" i="15"/>
  <c r="E240" i="15" s="1"/>
  <c r="E26" i="15"/>
  <c r="I15" i="9"/>
  <c r="I14" i="9"/>
  <c r="D15" i="9"/>
  <c r="V17" i="37"/>
  <c r="V24" i="37"/>
  <c r="S14" i="10"/>
  <c r="S15" i="10" s="1"/>
  <c r="S24" i="10" l="1"/>
  <c r="H111" i="32"/>
  <c r="H112" i="32" s="1"/>
  <c r="E111" i="32"/>
  <c r="E112" i="32" s="1"/>
  <c r="H98" i="32"/>
  <c r="H99" i="32" s="1"/>
  <c r="G98" i="32"/>
  <c r="G99" i="32" s="1"/>
  <c r="F98" i="32"/>
  <c r="F99" i="32" s="1"/>
  <c r="E245" i="15"/>
  <c r="F241" i="15" s="1"/>
  <c r="E243" i="15"/>
  <c r="U110" i="45"/>
  <c r="P19" i="21"/>
  <c r="I174" i="45"/>
  <c r="J174" i="45" s="1"/>
  <c r="AB88" i="45"/>
  <c r="AA88" i="45"/>
  <c r="Q162" i="28"/>
  <c r="AG162" i="28"/>
  <c r="K148" i="45"/>
  <c r="L72" i="45"/>
  <c r="I175" i="45"/>
  <c r="J175" i="45" s="1"/>
  <c r="L87" i="45"/>
  <c r="L149" i="45"/>
  <c r="U87" i="45"/>
  <c r="AV88" i="45"/>
  <c r="AW88" i="45" s="1"/>
  <c r="K27" i="15"/>
  <c r="O163" i="28"/>
  <c r="G164" i="28"/>
  <c r="L164" i="28" s="1"/>
  <c r="I30" i="15"/>
  <c r="V26" i="37"/>
  <c r="R32" i="28"/>
  <c r="I47" i="28"/>
  <c r="I52" i="28"/>
  <c r="C52" i="28" s="1"/>
  <c r="I51" i="28"/>
  <c r="C51" i="28" s="1"/>
  <c r="I50" i="28"/>
  <c r="I49" i="28"/>
  <c r="C49" i="28" s="1"/>
  <c r="I48" i="28"/>
  <c r="R19" i="28"/>
  <c r="T20" i="28" s="1"/>
  <c r="K525" i="16"/>
  <c r="J524" i="16"/>
  <c r="J523" i="16"/>
  <c r="J522" i="16"/>
  <c r="T137" i="28"/>
  <c r="Q137" i="28"/>
  <c r="I138" i="28"/>
  <c r="I139" i="28" s="1"/>
  <c r="I136" i="28"/>
  <c r="J136" i="28" s="1"/>
  <c r="I135" i="28"/>
  <c r="J135" i="28" s="1"/>
  <c r="I134" i="28"/>
  <c r="J134" i="28" s="1"/>
  <c r="I133" i="28"/>
  <c r="J133" i="28" s="1"/>
  <c r="I132" i="28"/>
  <c r="J132" i="28" s="1"/>
  <c r="AX8" i="10"/>
  <c r="AY8" i="10"/>
  <c r="BB8" i="10" s="1"/>
  <c r="BC8" i="10" s="1"/>
  <c r="L148" i="45" l="1"/>
  <c r="M148" i="45"/>
  <c r="J531" i="16"/>
  <c r="J50" i="28"/>
  <c r="C50" i="28"/>
  <c r="C54" i="28" s="1"/>
  <c r="B54" i="28" s="1"/>
  <c r="F240" i="15"/>
  <c r="J47" i="28"/>
  <c r="N50" i="28"/>
  <c r="L48" i="28"/>
  <c r="J48" i="28"/>
  <c r="L49" i="28"/>
  <c r="J49" i="28"/>
  <c r="L51" i="28"/>
  <c r="J51" i="28"/>
  <c r="L52" i="28"/>
  <c r="J52" i="28"/>
  <c r="L47" i="28"/>
  <c r="I54" i="28"/>
  <c r="Q163" i="28"/>
  <c r="AG163" i="28"/>
  <c r="AI163" i="28" s="1"/>
  <c r="AI162" i="28"/>
  <c r="O164" i="28"/>
  <c r="G165" i="28"/>
  <c r="L165" i="28" s="1"/>
  <c r="R137" i="28"/>
  <c r="L50" i="28"/>
  <c r="J138" i="28"/>
  <c r="J139" i="28" s="1"/>
  <c r="AQ25" i="10"/>
  <c r="AQ21" i="10" s="1"/>
  <c r="AY33" i="10"/>
  <c r="AX33" i="10"/>
  <c r="AW33" i="10"/>
  <c r="AU33" i="10"/>
  <c r="AT33" i="10"/>
  <c r="AS33" i="10"/>
  <c r="D210" i="9"/>
  <c r="E210" i="9" s="1"/>
  <c r="D204" i="9"/>
  <c r="E204" i="9" s="1"/>
  <c r="T215" i="9"/>
  <c r="T216" i="9" s="1"/>
  <c r="C218" i="9"/>
  <c r="C219" i="9" s="1"/>
  <c r="R214" i="9"/>
  <c r="T210" i="9"/>
  <c r="T211" i="9" s="1"/>
  <c r="C213" i="9"/>
  <c r="C214" i="9" s="1"/>
  <c r="R209" i="9"/>
  <c r="R208" i="9"/>
  <c r="R207" i="9"/>
  <c r="R206" i="9"/>
  <c r="R204" i="9"/>
  <c r="R203" i="9"/>
  <c r="R202" i="9"/>
  <c r="R201" i="9"/>
  <c r="R200" i="9"/>
  <c r="R199" i="9"/>
  <c r="AQ65" i="10"/>
  <c r="AQ66" i="10" s="1"/>
  <c r="BA65" i="10"/>
  <c r="BA66" i="10" s="1"/>
  <c r="AY65" i="10"/>
  <c r="AY66" i="10" s="1"/>
  <c r="AZ65" i="10"/>
  <c r="AZ66" i="10" s="1"/>
  <c r="AX62" i="10"/>
  <c r="AX65" i="10" s="1"/>
  <c r="AX66" i="10" s="1"/>
  <c r="AW62" i="10"/>
  <c r="AW65" i="10" s="1"/>
  <c r="AW66" i="10" s="1"/>
  <c r="AU62" i="10"/>
  <c r="AU65" i="10" s="1"/>
  <c r="AU66" i="10" s="1"/>
  <c r="AT62" i="10"/>
  <c r="AT65" i="10" s="1"/>
  <c r="AT66" i="10" s="1"/>
  <c r="AS62" i="10"/>
  <c r="AS65" i="10" s="1"/>
  <c r="AS66" i="10" s="1"/>
  <c r="AR62" i="10"/>
  <c r="AR65" i="10" s="1"/>
  <c r="AR66" i="10" s="1"/>
  <c r="AK50" i="26"/>
  <c r="AK43" i="26"/>
  <c r="AC51" i="26"/>
  <c r="AD51" i="26"/>
  <c r="AE51" i="26"/>
  <c r="AF51" i="26"/>
  <c r="AG51" i="26"/>
  <c r="AH51" i="26"/>
  <c r="AI51" i="26"/>
  <c r="AB51" i="26"/>
  <c r="AE50" i="26"/>
  <c r="AK49" i="26"/>
  <c r="AC48" i="26"/>
  <c r="AC49" i="26"/>
  <c r="AC62" i="26"/>
  <c r="AD46" i="26"/>
  <c r="AI46" i="26"/>
  <c r="AE46" i="26"/>
  <c r="AH46" i="26"/>
  <c r="AF46" i="26"/>
  <c r="AG46" i="26"/>
  <c r="AB46" i="26"/>
  <c r="J54" i="28" l="1"/>
  <c r="J55" i="28" s="1"/>
  <c r="I59" i="28"/>
  <c r="I61" i="28" s="1"/>
  <c r="I62" i="28" s="1"/>
  <c r="L54" i="28"/>
  <c r="K59" i="28" s="1"/>
  <c r="K61" i="28" s="1"/>
  <c r="Q50" i="28"/>
  <c r="P50" i="28" s="1"/>
  <c r="O50" i="28"/>
  <c r="O165" i="28"/>
  <c r="AG165" i="28" s="1"/>
  <c r="AI165" i="28" s="1"/>
  <c r="L166" i="28"/>
  <c r="Q164" i="28"/>
  <c r="AG164" i="28"/>
  <c r="R210" i="9"/>
  <c r="R211" i="9" s="1"/>
  <c r="AQ74" i="10"/>
  <c r="AR74" i="10" s="1"/>
  <c r="AQ69" i="10"/>
  <c r="AR69" i="10" s="1"/>
  <c r="AZ69" i="10" s="1"/>
  <c r="BA69" i="10" s="1"/>
  <c r="R215" i="9"/>
  <c r="R216" i="9" s="1"/>
  <c r="AG75" i="26"/>
  <c r="AF75" i="26"/>
  <c r="AD75" i="26"/>
  <c r="AB75" i="26"/>
  <c r="AH75" i="26"/>
  <c r="AE75" i="26"/>
  <c r="AI75" i="26"/>
  <c r="AG74" i="26"/>
  <c r="AF74" i="26"/>
  <c r="AD74" i="26"/>
  <c r="AC74" i="26"/>
  <c r="AB74" i="26"/>
  <c r="AH74" i="26"/>
  <c r="AE74" i="26"/>
  <c r="AI74" i="26"/>
  <c r="AC64" i="26"/>
  <c r="AC63" i="26"/>
  <c r="AC45" i="26"/>
  <c r="AC46" i="26" s="1"/>
  <c r="AC75" i="26"/>
  <c r="E122" i="9"/>
  <c r="I106" i="28"/>
  <c r="J106" i="28" s="1"/>
  <c r="I105" i="28"/>
  <c r="J105" i="28" s="1"/>
  <c r="I104" i="28"/>
  <c r="I109" i="28" s="1"/>
  <c r="K521" i="16"/>
  <c r="T88" i="9"/>
  <c r="V86" i="9"/>
  <c r="U86" i="9"/>
  <c r="U85" i="9"/>
  <c r="U84" i="9"/>
  <c r="O166" i="28" l="1"/>
  <c r="L167" i="28"/>
  <c r="O167" i="28" s="1"/>
  <c r="J61" i="28"/>
  <c r="I73" i="28"/>
  <c r="K73" i="28" s="1"/>
  <c r="J104" i="28"/>
  <c r="J109" i="28" s="1"/>
  <c r="K54" i="28"/>
  <c r="J59" i="28" s="1"/>
  <c r="Q165" i="28"/>
  <c r="AI164" i="28"/>
  <c r="AI172" i="28" s="1"/>
  <c r="AG172" i="28"/>
  <c r="AS53" i="10"/>
  <c r="AS54" i="10" s="1"/>
  <c r="AT53" i="10"/>
  <c r="AT54" i="10" s="1"/>
  <c r="AR50" i="10"/>
  <c r="AQ50" i="10"/>
  <c r="R18" i="10"/>
  <c r="Q18" i="10"/>
  <c r="Q24" i="10" s="1"/>
  <c r="T24" i="37"/>
  <c r="T17" i="37"/>
  <c r="S24" i="37"/>
  <c r="S17" i="37"/>
  <c r="R24" i="37"/>
  <c r="R17" i="37"/>
  <c r="D75" i="32"/>
  <c r="S5" i="9"/>
  <c r="T5" i="9" s="1"/>
  <c r="U21" i="21"/>
  <c r="J7" i="21"/>
  <c r="O7" i="21"/>
  <c r="J9" i="21"/>
  <c r="O9" i="21"/>
  <c r="J11" i="21"/>
  <c r="O11" i="21"/>
  <c r="J13" i="21"/>
  <c r="J16" i="21"/>
  <c r="O16" i="21"/>
  <c r="J18" i="21"/>
  <c r="O18" i="21"/>
  <c r="O6" i="21"/>
  <c r="J6" i="21"/>
  <c r="N19" i="21"/>
  <c r="I19" i="21"/>
  <c r="I20" i="21" s="1"/>
  <c r="K65" i="10"/>
  <c r="K520" i="16"/>
  <c r="I72" i="28"/>
  <c r="I71" i="28"/>
  <c r="I70" i="28"/>
  <c r="I69" i="28"/>
  <c r="I68" i="28"/>
  <c r="I67" i="28"/>
  <c r="I14" i="28"/>
  <c r="P17" i="28"/>
  <c r="I23" i="28"/>
  <c r="J23" i="28" s="1"/>
  <c r="P139" i="28" l="1"/>
  <c r="P178" i="28"/>
  <c r="Q178" i="28" s="1"/>
  <c r="Q166" i="28"/>
  <c r="K67" i="28"/>
  <c r="I80" i="28"/>
  <c r="J68" i="28"/>
  <c r="K68" i="28"/>
  <c r="J69" i="28"/>
  <c r="K69" i="28"/>
  <c r="J70" i="28"/>
  <c r="K70" i="28"/>
  <c r="J71" i="28"/>
  <c r="K71" i="28"/>
  <c r="J72" i="28"/>
  <c r="K72" i="28"/>
  <c r="J73" i="28"/>
  <c r="Q167" i="28"/>
  <c r="O170" i="28"/>
  <c r="I115" i="28"/>
  <c r="I117" i="28" s="1"/>
  <c r="I110" i="28"/>
  <c r="Q73" i="28"/>
  <c r="T73" i="28" s="1"/>
  <c r="T76" i="28" s="1"/>
  <c r="K109" i="28"/>
  <c r="J115" i="28" s="1"/>
  <c r="S122" i="28"/>
  <c r="R122" i="28"/>
  <c r="R123" i="28" s="1"/>
  <c r="J67" i="28"/>
  <c r="N20" i="21"/>
  <c r="N21" i="21" s="1"/>
  <c r="AH172" i="28"/>
  <c r="AW53" i="10"/>
  <c r="J14" i="28"/>
  <c r="AQ53" i="10"/>
  <c r="AQ54" i="10" s="1"/>
  <c r="AW54" i="10" s="1"/>
  <c r="AQ33" i="10"/>
  <c r="AR53" i="10"/>
  <c r="AR54" i="10" s="1"/>
  <c r="AR33" i="10"/>
  <c r="T26" i="37"/>
  <c r="S26" i="37"/>
  <c r="R26" i="37"/>
  <c r="H218" i="15"/>
  <c r="J218" i="15" s="1"/>
  <c r="G217" i="15"/>
  <c r="F217" i="15"/>
  <c r="E217" i="15"/>
  <c r="H216" i="15"/>
  <c r="H215" i="15"/>
  <c r="H214" i="15"/>
  <c r="J214" i="15" s="1"/>
  <c r="I213" i="15"/>
  <c r="G213" i="15"/>
  <c r="F213" i="15"/>
  <c r="E213" i="15"/>
  <c r="D213" i="15"/>
  <c r="H212" i="15"/>
  <c r="H211" i="15"/>
  <c r="J210" i="15"/>
  <c r="J213" i="15" s="1"/>
  <c r="I209" i="15"/>
  <c r="F209" i="15"/>
  <c r="E209" i="15"/>
  <c r="D209" i="15"/>
  <c r="H208" i="15"/>
  <c r="H207" i="15"/>
  <c r="J206" i="15"/>
  <c r="J209" i="15" s="1"/>
  <c r="G206" i="15"/>
  <c r="G209" i="15" s="1"/>
  <c r="J205" i="15"/>
  <c r="G205" i="15"/>
  <c r="J204" i="15"/>
  <c r="G204" i="15"/>
  <c r="J203" i="15"/>
  <c r="G203" i="15"/>
  <c r="J202" i="15"/>
  <c r="G202" i="15"/>
  <c r="J201" i="15"/>
  <c r="G201" i="15"/>
  <c r="J200" i="15"/>
  <c r="G200" i="15"/>
  <c r="J199" i="15"/>
  <c r="G199" i="15"/>
  <c r="I82" i="28" l="1"/>
  <c r="J82" i="28" s="1"/>
  <c r="Q170" i="28"/>
  <c r="P177" i="28"/>
  <c r="Q76" i="28"/>
  <c r="R76" i="28" s="1"/>
  <c r="M115" i="28"/>
  <c r="N115" i="28" s="1"/>
  <c r="N117" i="28" s="1"/>
  <c r="M117" i="28" s="1"/>
  <c r="K115" i="28"/>
  <c r="K117" i="28" s="1"/>
  <c r="I118" i="28"/>
  <c r="T122" i="28"/>
  <c r="H213" i="15"/>
  <c r="J76" i="28"/>
  <c r="H217" i="15"/>
  <c r="H209" i="15"/>
  <c r="L76" i="28" l="1"/>
  <c r="L80" i="28" s="1"/>
  <c r="K80" i="28"/>
  <c r="K82" i="28" s="1"/>
  <c r="L82" i="28" s="1"/>
  <c r="N76" i="28"/>
  <c r="J117" i="28"/>
  <c r="J125" i="28" s="1"/>
  <c r="K125" i="28" s="1"/>
  <c r="F170" i="15"/>
  <c r="E134" i="15"/>
  <c r="F134" i="15"/>
  <c r="D174" i="15"/>
  <c r="D175" i="15" s="1"/>
  <c r="E174" i="15"/>
  <c r="E175" i="15" s="1"/>
  <c r="F174" i="15"/>
  <c r="F175" i="15" s="1"/>
  <c r="C174" i="15"/>
  <c r="C175" i="15" s="1"/>
  <c r="G173" i="15"/>
  <c r="G174" i="15" s="1"/>
  <c r="G175" i="15" s="1"/>
  <c r="G162" i="15"/>
  <c r="G163" i="15" s="1"/>
  <c r="D162" i="15"/>
  <c r="D163" i="15" s="1"/>
  <c r="E162" i="15"/>
  <c r="E163" i="15" s="1"/>
  <c r="C162" i="15"/>
  <c r="C163" i="15" s="1"/>
  <c r="F160" i="15"/>
  <c r="F162" i="15" s="1"/>
  <c r="F163" i="15" s="1"/>
  <c r="G147" i="15"/>
  <c r="J147" i="15" s="1"/>
  <c r="G146" i="15"/>
  <c r="J146" i="15" s="1"/>
  <c r="G145" i="15"/>
  <c r="J144" i="15"/>
  <c r="H144" i="15"/>
  <c r="J143" i="15"/>
  <c r="H143" i="15"/>
  <c r="F143" i="15"/>
  <c r="J154" i="15"/>
  <c r="H154" i="15"/>
  <c r="F154" i="15"/>
  <c r="J153" i="15"/>
  <c r="H153" i="15"/>
  <c r="F153" i="15"/>
  <c r="J152" i="15"/>
  <c r="H152" i="15"/>
  <c r="F152" i="15"/>
  <c r="J151" i="15"/>
  <c r="H151" i="15"/>
  <c r="F151" i="15"/>
  <c r="J150" i="15"/>
  <c r="F150" i="15"/>
  <c r="F130" i="15"/>
  <c r="E130" i="15"/>
  <c r="F129" i="15"/>
  <c r="E129" i="15"/>
  <c r="F128" i="15"/>
  <c r="E128" i="15"/>
  <c r="F127" i="15"/>
  <c r="E127" i="15"/>
  <c r="F126" i="15"/>
  <c r="E126" i="15"/>
  <c r="F125" i="15"/>
  <c r="E125" i="15"/>
  <c r="F124" i="15"/>
  <c r="E124" i="15"/>
  <c r="F123" i="15"/>
  <c r="E123" i="15"/>
  <c r="F122" i="15"/>
  <c r="E122" i="15"/>
  <c r="M11" i="10"/>
  <c r="M14" i="10"/>
  <c r="R14" i="10"/>
  <c r="R15" i="10" s="1"/>
  <c r="M15" i="10" l="1"/>
  <c r="M16" i="10"/>
  <c r="M24" i="10"/>
  <c r="R16" i="10"/>
  <c r="R24" i="10"/>
  <c r="J145" i="15"/>
  <c r="H145" i="15"/>
  <c r="H146" i="15"/>
  <c r="H147" i="15"/>
  <c r="AS40" i="10"/>
  <c r="AT40" i="10" s="1"/>
  <c r="AS38" i="10"/>
  <c r="AT38" i="10" s="1"/>
  <c r="AS39" i="10"/>
  <c r="AT39" i="10" s="1"/>
  <c r="D118" i="9"/>
  <c r="E121" i="9"/>
  <c r="D121" i="9"/>
  <c r="E120" i="9"/>
  <c r="D120" i="9"/>
  <c r="E119" i="9"/>
  <c r="D119" i="9"/>
  <c r="E118" i="9"/>
  <c r="E117" i="9"/>
  <c r="D117" i="9"/>
  <c r="E116" i="9"/>
  <c r="D116" i="9"/>
  <c r="E115" i="9"/>
  <c r="D115" i="9"/>
  <c r="E114" i="9"/>
  <c r="D114" i="9"/>
  <c r="E113" i="9"/>
  <c r="E124" i="9" s="1"/>
  <c r="H91" i="9"/>
  <c r="H92" i="9" s="1"/>
  <c r="C91" i="9"/>
  <c r="C92" i="9" s="1"/>
  <c r="E87" i="9"/>
  <c r="E88" i="9"/>
  <c r="E89" i="9"/>
  <c r="E90" i="9"/>
  <c r="E106" i="9"/>
  <c r="G106" i="9" s="1"/>
  <c r="E101" i="9"/>
  <c r="G101" i="9" s="1"/>
  <c r="E102" i="9"/>
  <c r="G102" i="9" s="1"/>
  <c r="E103" i="9"/>
  <c r="E86" i="9"/>
  <c r="D103" i="9"/>
  <c r="D102" i="9"/>
  <c r="D101" i="9"/>
  <c r="D90" i="9"/>
  <c r="D89" i="9"/>
  <c r="D88" i="9"/>
  <c r="D87" i="9"/>
  <c r="M21" i="9"/>
  <c r="Y21" i="9"/>
  <c r="E21" i="9"/>
  <c r="M22" i="9"/>
  <c r="Y22" i="9"/>
  <c r="I22" i="9"/>
  <c r="E22" i="9"/>
  <c r="D22" i="9"/>
  <c r="M8" i="9"/>
  <c r="Y8" i="9"/>
  <c r="I8" i="9"/>
  <c r="E8" i="9"/>
  <c r="D8" i="9"/>
  <c r="M9" i="9"/>
  <c r="Y9" i="9"/>
  <c r="I9" i="9"/>
  <c r="E9" i="9"/>
  <c r="T21" i="9" s="1"/>
  <c r="D9" i="9"/>
  <c r="M10" i="9"/>
  <c r="Y10" i="9"/>
  <c r="I10" i="9"/>
  <c r="E10" i="9"/>
  <c r="D10" i="9"/>
  <c r="M11" i="9"/>
  <c r="Y11" i="9"/>
  <c r="I11" i="9"/>
  <c r="E11" i="9"/>
  <c r="F11" i="9" s="1"/>
  <c r="D11" i="9"/>
  <c r="M12" i="9"/>
  <c r="Y12" i="9"/>
  <c r="I12" i="9"/>
  <c r="E12" i="9"/>
  <c r="D12" i="9"/>
  <c r="M13" i="9"/>
  <c r="Y13" i="9"/>
  <c r="I13" i="9"/>
  <c r="E13" i="9"/>
  <c r="F13" i="9" s="1"/>
  <c r="D13" i="9"/>
  <c r="M14" i="9"/>
  <c r="Y14" i="9"/>
  <c r="E14" i="9"/>
  <c r="D14" i="9"/>
  <c r="AZ6" i="10"/>
  <c r="AZ5" i="10"/>
  <c r="R96" i="15"/>
  <c r="R97" i="15" s="1"/>
  <c r="R98" i="15" s="1"/>
  <c r="R99" i="15" s="1"/>
  <c r="R100" i="15" s="1"/>
  <c r="R101" i="15" s="1"/>
  <c r="E109" i="15"/>
  <c r="E102" i="15"/>
  <c r="E101" i="15"/>
  <c r="E100" i="15"/>
  <c r="E99" i="15"/>
  <c r="E98" i="15"/>
  <c r="E97" i="15"/>
  <c r="F9" i="9" l="1"/>
  <c r="F8" i="9"/>
  <c r="F12" i="9"/>
  <c r="F10" i="9"/>
  <c r="F14" i="9"/>
  <c r="G103" i="9"/>
  <c r="G104" i="9"/>
  <c r="AZ8" i="10"/>
  <c r="BE8" i="10" s="1"/>
  <c r="BF8" i="10" s="1"/>
  <c r="E16" i="9"/>
  <c r="F16" i="9" s="1"/>
  <c r="E125" i="9"/>
  <c r="S6" i="9"/>
  <c r="T6" i="9" s="1"/>
  <c r="M15" i="9"/>
  <c r="E91" i="9"/>
  <c r="E92" i="9" s="1"/>
  <c r="R26" i="10"/>
  <c r="R28" i="10" s="1"/>
  <c r="R48" i="10" s="1"/>
  <c r="R38" i="10"/>
  <c r="M26" i="10"/>
  <c r="M28" i="10" s="1"/>
  <c r="M48" i="10" s="1"/>
  <c r="Y15" i="9"/>
  <c r="E15" i="9"/>
  <c r="E80" i="9" s="1"/>
  <c r="H80" i="9" s="1"/>
  <c r="K97" i="15"/>
  <c r="K98" i="15"/>
  <c r="K99" i="15"/>
  <c r="K100" i="15"/>
  <c r="K101" i="15"/>
  <c r="K102" i="15"/>
  <c r="K107" i="15"/>
  <c r="K108" i="15"/>
  <c r="K96" i="15"/>
  <c r="L111" i="15"/>
  <c r="F15" i="9" l="1"/>
  <c r="M16" i="9"/>
  <c r="Y16" i="9"/>
  <c r="J60" i="15"/>
  <c r="H231" i="15"/>
  <c r="H232" i="15"/>
  <c r="H233" i="15"/>
  <c r="H230" i="15"/>
  <c r="H226" i="15"/>
  <c r="H227" i="15"/>
  <c r="H225" i="15"/>
  <c r="E234" i="15"/>
  <c r="F234" i="15"/>
  <c r="G234" i="15"/>
  <c r="D234" i="15"/>
  <c r="G228" i="15"/>
  <c r="F228" i="15"/>
  <c r="E66" i="15"/>
  <c r="S28" i="15"/>
  <c r="S27" i="15"/>
  <c r="U27" i="15" s="1"/>
  <c r="S26" i="15"/>
  <c r="U26" i="15" s="1"/>
  <c r="S25" i="15"/>
  <c r="U25" i="15" s="1"/>
  <c r="S24" i="15"/>
  <c r="U24" i="15" s="1"/>
  <c r="S23" i="15"/>
  <c r="U23" i="15" s="1"/>
  <c r="S34" i="15"/>
  <c r="V25" i="15" l="1"/>
  <c r="V24" i="15"/>
  <c r="V26" i="15"/>
  <c r="V27" i="15"/>
  <c r="H18" i="9"/>
  <c r="M18" i="9" s="1"/>
  <c r="E17" i="9"/>
  <c r="C18" i="9"/>
  <c r="Y17" i="9"/>
  <c r="M17" i="9"/>
  <c r="U34" i="15"/>
  <c r="V23" i="15" s="1"/>
  <c r="H228" i="15"/>
  <c r="H234" i="15"/>
  <c r="T25" i="15"/>
  <c r="T28" i="15"/>
  <c r="T29" i="15"/>
  <c r="U28" i="15"/>
  <c r="V28" i="15" s="1"/>
  <c r="T27" i="15"/>
  <c r="T24" i="15"/>
  <c r="U29" i="15"/>
  <c r="T23" i="15"/>
  <c r="T26" i="15"/>
  <c r="E18" i="9" l="1"/>
  <c r="C19" i="9"/>
  <c r="E19" i="9" s="1"/>
  <c r="F19" i="9" s="1"/>
  <c r="F18" i="9"/>
  <c r="F17" i="9"/>
  <c r="T22" i="9"/>
  <c r="T23" i="9" s="1"/>
  <c r="T24" i="9" s="1"/>
  <c r="V29" i="15"/>
  <c r="V30" i="15"/>
  <c r="E87" i="15"/>
  <c r="E86" i="15"/>
  <c r="E85" i="15"/>
  <c r="E18" i="34"/>
  <c r="D18" i="34"/>
  <c r="E17" i="34"/>
  <c r="D17" i="34"/>
  <c r="E16" i="34"/>
  <c r="D16" i="34"/>
  <c r="E15" i="34"/>
  <c r="D15" i="34"/>
  <c r="E14" i="34"/>
  <c r="D14" i="34"/>
  <c r="E13" i="34"/>
  <c r="D13" i="34"/>
  <c r="E12" i="34"/>
  <c r="D12" i="34"/>
  <c r="E11" i="34"/>
  <c r="D11" i="34"/>
  <c r="E10" i="34"/>
  <c r="D10" i="34"/>
  <c r="E9" i="34"/>
  <c r="D9" i="34"/>
  <c r="E8" i="34"/>
  <c r="S56" i="34"/>
  <c r="T56" i="34"/>
  <c r="R56" i="34"/>
  <c r="T50" i="34"/>
  <c r="U50" i="34" s="1"/>
  <c r="G76" i="34"/>
  <c r="G77" i="34"/>
  <c r="G78" i="34"/>
  <c r="G73" i="34"/>
  <c r="G74" i="34"/>
  <c r="G72" i="34"/>
  <c r="T42" i="34"/>
  <c r="E43" i="34"/>
  <c r="E42" i="34" s="1"/>
  <c r="F43" i="34"/>
  <c r="F42" i="34" s="1"/>
  <c r="G43" i="34"/>
  <c r="G42" i="34" s="1"/>
  <c r="H43" i="34"/>
  <c r="H42" i="34" s="1"/>
  <c r="I43" i="34"/>
  <c r="I42" i="34" s="1"/>
  <c r="J43" i="34"/>
  <c r="J42" i="34" s="1"/>
  <c r="D43" i="34"/>
  <c r="D42" i="34" s="1"/>
  <c r="K41" i="34"/>
  <c r="R40" i="34"/>
  <c r="R61" i="34"/>
  <c r="T12" i="34"/>
  <c r="T13" i="34"/>
  <c r="T14" i="34"/>
  <c r="T15" i="34"/>
  <c r="T16" i="34"/>
  <c r="T17" i="34"/>
  <c r="T18" i="34"/>
  <c r="E88" i="15" l="1"/>
  <c r="E83" i="15"/>
  <c r="K42" i="34"/>
  <c r="K43" i="34"/>
  <c r="K62" i="34" s="1"/>
  <c r="O12" i="26"/>
  <c r="O13" i="26"/>
  <c r="O14" i="26"/>
  <c r="O15" i="26"/>
  <c r="O16" i="26"/>
  <c r="O17" i="26"/>
  <c r="O18" i="26"/>
  <c r="O19" i="26"/>
  <c r="O20" i="26"/>
  <c r="O21" i="26"/>
  <c r="O22" i="26"/>
  <c r="O23" i="26"/>
  <c r="O24" i="26"/>
  <c r="O11" i="26"/>
  <c r="N27" i="26"/>
  <c r="K40" i="34" l="1"/>
  <c r="N26" i="26"/>
  <c r="O27" i="26" l="1"/>
  <c r="O26" i="26"/>
  <c r="AS25" i="10" l="1"/>
  <c r="AS21" i="10" s="1"/>
  <c r="AT25" i="10"/>
  <c r="AT21" i="10" s="1"/>
  <c r="AU25" i="10"/>
  <c r="AU21" i="10" s="1"/>
  <c r="AW25" i="10"/>
  <c r="AW21" i="10" s="1"/>
  <c r="AX25" i="10"/>
  <c r="AX21" i="10" s="1"/>
  <c r="AR25" i="10"/>
  <c r="AR21" i="10" s="1"/>
  <c r="G75" i="32"/>
  <c r="G78" i="32" s="1"/>
  <c r="H75" i="32"/>
  <c r="H78" i="32" s="1"/>
  <c r="I75" i="32"/>
  <c r="I78" i="32" s="1"/>
  <c r="J78" i="32"/>
  <c r="F75" i="32"/>
  <c r="F78" i="32" s="1"/>
  <c r="BE28" i="21"/>
  <c r="BD28" i="21"/>
  <c r="BE22" i="21"/>
  <c r="BE24" i="21" s="1"/>
  <c r="BD22" i="21"/>
  <c r="BD24" i="21" s="1"/>
  <c r="AS28" i="21"/>
  <c r="AT28" i="21"/>
  <c r="AU28" i="21"/>
  <c r="AV28" i="21"/>
  <c r="AW28" i="21"/>
  <c r="AX28" i="21"/>
  <c r="AY28" i="21"/>
  <c r="AZ28" i="21"/>
  <c r="BA28" i="21"/>
  <c r="BB28" i="21"/>
  <c r="BC28" i="21"/>
  <c r="AR28" i="21"/>
  <c r="BA15" i="21"/>
  <c r="BA22" i="21" s="1"/>
  <c r="BA24" i="21" s="1"/>
  <c r="AZ15" i="21"/>
  <c r="AZ22" i="21" s="1"/>
  <c r="AZ24" i="21" s="1"/>
  <c r="BC15" i="21"/>
  <c r="BC22" i="21" s="1"/>
  <c r="BC24" i="21" s="1"/>
  <c r="BB15" i="21"/>
  <c r="BB22" i="21" s="1"/>
  <c r="BB24" i="21" s="1"/>
  <c r="AS22" i="21"/>
  <c r="AS24" i="21" s="1"/>
  <c r="AR22" i="21"/>
  <c r="AR24" i="21" s="1"/>
  <c r="AU15" i="21"/>
  <c r="AU22" i="21" s="1"/>
  <c r="AU24" i="21" s="1"/>
  <c r="AT15" i="21"/>
  <c r="AT22" i="21" s="1"/>
  <c r="AT24" i="21" s="1"/>
  <c r="AW15" i="21"/>
  <c r="AW22" i="21" s="1"/>
  <c r="AW24" i="21" s="1"/>
  <c r="AV15" i="21"/>
  <c r="AV22" i="21" s="1"/>
  <c r="AV24" i="21" s="1"/>
  <c r="AY15" i="21"/>
  <c r="AY22" i="21" s="1"/>
  <c r="AY24" i="21" s="1"/>
  <c r="AX15" i="21"/>
  <c r="AX22" i="21" s="1"/>
  <c r="AX24" i="21" s="1"/>
  <c r="E75" i="32"/>
  <c r="E78" i="32" s="1"/>
  <c r="M75" i="32"/>
  <c r="H53" i="10"/>
  <c r="I53" i="10"/>
  <c r="N53" i="10"/>
  <c r="AC86" i="32"/>
  <c r="AB86" i="32"/>
  <c r="AA86" i="32"/>
  <c r="Z86" i="32"/>
  <c r="Y86" i="32"/>
  <c r="X86" i="32"/>
  <c r="W86" i="32"/>
  <c r="V86" i="32"/>
  <c r="U86" i="32"/>
  <c r="AC85" i="32"/>
  <c r="AB85" i="32"/>
  <c r="AA85" i="32"/>
  <c r="Z85" i="32"/>
  <c r="Y85" i="32"/>
  <c r="X85" i="32"/>
  <c r="W85" i="32"/>
  <c r="V85" i="32"/>
  <c r="AC84" i="32"/>
  <c r="AB84" i="32"/>
  <c r="AA84" i="32"/>
  <c r="Z84" i="32"/>
  <c r="Y84" i="32"/>
  <c r="X84" i="32"/>
  <c r="W84" i="32"/>
  <c r="V84" i="32"/>
  <c r="AC80" i="32"/>
  <c r="AB80" i="32"/>
  <c r="AA80" i="32"/>
  <c r="Z80" i="32"/>
  <c r="Y80" i="32"/>
  <c r="X80" i="32"/>
  <c r="W80" i="32"/>
  <c r="V80" i="32"/>
  <c r="T86" i="32"/>
  <c r="U73" i="32"/>
  <c r="U85" i="32" s="1"/>
  <c r="T85" i="32"/>
  <c r="U72" i="32"/>
  <c r="T84" i="32"/>
  <c r="D78" i="32"/>
  <c r="K75" i="32"/>
  <c r="K78" i="32" s="1"/>
  <c r="AX25" i="21" l="1"/>
  <c r="S54" i="10"/>
  <c r="O54" i="10"/>
  <c r="BB25" i="21"/>
  <c r="Y87" i="32"/>
  <c r="AV25" i="21"/>
  <c r="M78" i="32"/>
  <c r="K99" i="32" s="1"/>
  <c r="L78" i="32"/>
  <c r="J99" i="32" s="1"/>
  <c r="BB29" i="21"/>
  <c r="AZ25" i="21"/>
  <c r="AZ29" i="21"/>
  <c r="AR29" i="21"/>
  <c r="AR30" i="21" s="1"/>
  <c r="AV29" i="21"/>
  <c r="AT25" i="21"/>
  <c r="AX29" i="21"/>
  <c r="AR25" i="21"/>
  <c r="AT29" i="21"/>
  <c r="BD29" i="21"/>
  <c r="BD25" i="21"/>
  <c r="N54" i="10"/>
  <c r="I54" i="10"/>
  <c r="U80" i="32"/>
  <c r="W87" i="32"/>
  <c r="X87" i="32"/>
  <c r="T87" i="32"/>
  <c r="V87" i="32"/>
  <c r="AB87" i="32"/>
  <c r="Z87" i="32"/>
  <c r="AC87" i="32"/>
  <c r="T80" i="32"/>
  <c r="AA87" i="32"/>
  <c r="U84" i="32"/>
  <c r="U87" i="32" s="1"/>
  <c r="AM49" i="10" l="1"/>
  <c r="N55" i="10"/>
  <c r="N56" i="10" s="1"/>
  <c r="I55" i="10"/>
  <c r="AT30" i="21"/>
  <c r="BD35" i="21"/>
  <c r="BD30" i="21"/>
  <c r="AY35" i="21" s="1"/>
  <c r="BB30" i="21"/>
  <c r="AX35" i="21" s="1"/>
  <c r="AX30" i="21"/>
  <c r="AV35" i="21" s="1"/>
  <c r="AV30" i="21"/>
  <c r="AU35" i="21" s="1"/>
  <c r="AT35" i="21"/>
  <c r="AZ30" i="21"/>
  <c r="AW35" i="21" s="1"/>
  <c r="I56" i="10" l="1"/>
  <c r="I45" i="10"/>
  <c r="I46" i="10" s="1"/>
  <c r="I59" i="10"/>
  <c r="N59" i="10"/>
  <c r="N45" i="10"/>
  <c r="N46" i="10" s="1"/>
  <c r="AS32" i="21"/>
  <c r="AT32" i="21" s="1"/>
  <c r="AS31" i="21"/>
  <c r="AT31" i="21" s="1"/>
  <c r="K502" i="16"/>
  <c r="I22" i="28" l="1"/>
  <c r="J22" i="28" s="1"/>
  <c r="I21" i="28"/>
  <c r="K499" i="16" l="1"/>
  <c r="AU43" i="10"/>
  <c r="AZ9" i="10"/>
  <c r="E19" i="21"/>
  <c r="F19" i="21"/>
  <c r="K19" i="21"/>
  <c r="D19" i="21"/>
  <c r="H19" i="21"/>
  <c r="H20" i="21" s="1"/>
  <c r="M19" i="21"/>
  <c r="M20" i="21" s="1"/>
  <c r="G19" i="21"/>
  <c r="G20" i="21" s="1"/>
  <c r="L19" i="21"/>
  <c r="L20" i="21" s="1"/>
  <c r="V17" i="9"/>
  <c r="V16" i="9"/>
  <c r="V15" i="9"/>
  <c r="Q16" i="10"/>
  <c r="H65" i="15"/>
  <c r="H64" i="15"/>
  <c r="H63" i="15"/>
  <c r="H62" i="15"/>
  <c r="H61" i="15"/>
  <c r="H60" i="15"/>
  <c r="G69" i="15"/>
  <c r="G67" i="15"/>
  <c r="J59" i="15"/>
  <c r="F59" i="15"/>
  <c r="F60" i="15"/>
  <c r="J61" i="15"/>
  <c r="F61" i="15"/>
  <c r="J62" i="15"/>
  <c r="F62" i="15"/>
  <c r="J63" i="15"/>
  <c r="F63" i="15"/>
  <c r="J64" i="15"/>
  <c r="F64" i="15"/>
  <c r="J65" i="15"/>
  <c r="G66" i="15"/>
  <c r="AJ36" i="21"/>
  <c r="AJ35" i="21"/>
  <c r="AJ34" i="21"/>
  <c r="AJ33" i="21"/>
  <c r="T14" i="9"/>
  <c r="AL40" i="15"/>
  <c r="AL39" i="15"/>
  <c r="AL38" i="15"/>
  <c r="AL37" i="15"/>
  <c r="W14" i="9"/>
  <c r="G26" i="15"/>
  <c r="G68" i="21"/>
  <c r="L68" i="21"/>
  <c r="G46" i="21"/>
  <c r="L46" i="21"/>
  <c r="G34" i="21"/>
  <c r="L34" i="21"/>
  <c r="H26" i="15"/>
  <c r="F26" i="15"/>
  <c r="I24" i="15"/>
  <c r="I25" i="15"/>
  <c r="I21" i="15"/>
  <c r="I20" i="15"/>
  <c r="I50" i="15"/>
  <c r="I49" i="15"/>
  <c r="J51" i="15"/>
  <c r="G51" i="15"/>
  <c r="F51" i="15"/>
  <c r="E51" i="15"/>
  <c r="E22" i="15"/>
  <c r="G22" i="15"/>
  <c r="H22" i="15"/>
  <c r="F22" i="15"/>
  <c r="F78" i="15"/>
  <c r="F77" i="15"/>
  <c r="D87" i="15"/>
  <c r="D86" i="15"/>
  <c r="D85" i="15"/>
  <c r="W9" i="28"/>
  <c r="H16" i="28"/>
  <c r="J21" i="28"/>
  <c r="O19" i="21" l="1"/>
  <c r="O20" i="21" s="1"/>
  <c r="J19" i="21"/>
  <c r="J20" i="21" s="1"/>
  <c r="J66" i="15"/>
  <c r="J67" i="15"/>
  <c r="J69" i="15"/>
  <c r="G70" i="21"/>
  <c r="L70" i="21"/>
  <c r="L16" i="10"/>
  <c r="L26" i="10"/>
  <c r="L28" i="10" s="1"/>
  <c r="H66" i="15"/>
  <c r="H69" i="15"/>
  <c r="H67" i="15"/>
  <c r="AE26" i="10"/>
  <c r="I26" i="15"/>
  <c r="I22" i="15"/>
  <c r="D83" i="15"/>
  <c r="D88" i="15"/>
  <c r="K490" i="16"/>
  <c r="K489" i="16"/>
  <c r="K488" i="16"/>
  <c r="K487" i="16"/>
  <c r="AX9" i="10"/>
  <c r="AX12" i="10" s="1"/>
  <c r="AW5" i="10"/>
  <c r="AU5" i="10"/>
  <c r="AT5" i="10"/>
  <c r="AS5" i="10"/>
  <c r="AS8" i="10" s="1"/>
  <c r="AR5" i="10"/>
  <c r="AR9" i="10" s="1"/>
  <c r="AR12" i="10" s="1"/>
  <c r="AQ5" i="10"/>
  <c r="S38" i="10"/>
  <c r="AO38" i="10" s="1"/>
  <c r="P38" i="10"/>
  <c r="L29" i="10" l="1"/>
  <c r="L48" i="10"/>
  <c r="AV5" i="10"/>
  <c r="AV8" i="10" s="1"/>
  <c r="K531" i="16"/>
  <c r="X26" i="10"/>
  <c r="X28" i="10" s="1"/>
  <c r="X42" i="10" s="1"/>
  <c r="X38" i="10"/>
  <c r="G21" i="21"/>
  <c r="J21" i="21" s="1"/>
  <c r="AU8" i="10"/>
  <c r="AU9" i="10" s="1"/>
  <c r="AU12" i="10" s="1"/>
  <c r="AW8" i="10"/>
  <c r="AY26" i="10" s="1"/>
  <c r="AQ8" i="10"/>
  <c r="AQ9" i="10" s="1"/>
  <c r="AY9" i="10"/>
  <c r="BE9" i="10" s="1"/>
  <c r="BF9" i="10" s="1"/>
  <c r="Q26" i="10"/>
  <c r="Q28" i="10" s="1"/>
  <c r="Q48" i="10" s="1"/>
  <c r="Q38" i="10"/>
  <c r="L21" i="21"/>
  <c r="O21" i="21" s="1"/>
  <c r="AE28" i="10"/>
  <c r="AE42" i="10" s="1"/>
  <c r="AT9" i="10"/>
  <c r="AT12" i="10" s="1"/>
  <c r="AS9" i="10"/>
  <c r="AS12" i="10" s="1"/>
  <c r="AF31" i="26"/>
  <c r="AE31" i="26"/>
  <c r="AF30" i="26"/>
  <c r="AE30" i="26"/>
  <c r="AI27" i="21"/>
  <c r="H721" i="16"/>
  <c r="H17" i="28"/>
  <c r="I32" i="28"/>
  <c r="J32" i="28" s="1"/>
  <c r="I31" i="28"/>
  <c r="J31" i="28" s="1"/>
  <c r="I30" i="28"/>
  <c r="J30" i="28" s="1"/>
  <c r="I29" i="28"/>
  <c r="J29" i="28" s="1"/>
  <c r="Q15" i="28"/>
  <c r="I28" i="28"/>
  <c r="J28" i="28" s="1"/>
  <c r="I5" i="28"/>
  <c r="J5" i="28" s="1"/>
  <c r="Q13" i="28"/>
  <c r="I6" i="28"/>
  <c r="J6" i="28" s="1"/>
  <c r="T12" i="28"/>
  <c r="I7" i="28"/>
  <c r="J7" i="28" s="1"/>
  <c r="T11" i="28"/>
  <c r="I8" i="28"/>
  <c r="J8" i="28" s="1"/>
  <c r="T10" i="28"/>
  <c r="I9" i="28"/>
  <c r="T9" i="28"/>
  <c r="I10" i="28"/>
  <c r="T8" i="28"/>
  <c r="I11" i="28"/>
  <c r="T7" i="28"/>
  <c r="I12" i="28"/>
  <c r="J12" i="28" s="1"/>
  <c r="I13" i="28"/>
  <c r="AF18" i="26"/>
  <c r="AD18" i="26"/>
  <c r="AF17" i="26"/>
  <c r="AD17" i="26"/>
  <c r="AF22" i="26"/>
  <c r="AF23" i="26" s="1"/>
  <c r="AF20" i="26"/>
  <c r="AF21" i="26" s="1"/>
  <c r="AD22" i="26"/>
  <c r="AD23" i="26" s="1"/>
  <c r="AD20" i="26"/>
  <c r="AD21" i="26" s="1"/>
  <c r="AE8" i="26"/>
  <c r="AE9" i="26"/>
  <c r="AE10" i="26"/>
  <c r="AE11" i="26"/>
  <c r="AE12" i="26"/>
  <c r="AE13" i="26"/>
  <c r="AE14" i="26"/>
  <c r="AE15" i="26"/>
  <c r="AE16" i="26"/>
  <c r="L47" i="26"/>
  <c r="L48" i="26" s="1"/>
  <c r="L35" i="26"/>
  <c r="L36" i="26" s="1"/>
  <c r="L37" i="26" s="1"/>
  <c r="L38" i="26" s="1"/>
  <c r="L39" i="26" s="1"/>
  <c r="L40" i="26" s="1"/>
  <c r="L41" i="26" s="1"/>
  <c r="L42" i="26" s="1"/>
  <c r="H35" i="26"/>
  <c r="H36" i="26" s="1"/>
  <c r="H37" i="26" s="1"/>
  <c r="H38" i="26" s="1"/>
  <c r="H39" i="26" s="1"/>
  <c r="H40" i="26" s="1"/>
  <c r="H41" i="26" s="1"/>
  <c r="H42" i="26" s="1"/>
  <c r="H43" i="26" s="1"/>
  <c r="H44" i="26" s="1"/>
  <c r="J348" i="16"/>
  <c r="J376" i="16" s="1"/>
  <c r="L188" i="9"/>
  <c r="M188" i="9" s="1"/>
  <c r="K188" i="9"/>
  <c r="X24" i="26"/>
  <c r="T26" i="26"/>
  <c r="H26" i="26"/>
  <c r="C26" i="26"/>
  <c r="F26" i="26"/>
  <c r="R11" i="26"/>
  <c r="R12" i="26"/>
  <c r="R13" i="26"/>
  <c r="R14" i="26"/>
  <c r="R15" i="26"/>
  <c r="R16" i="26"/>
  <c r="R17" i="26"/>
  <c r="R18" i="26"/>
  <c r="R19" i="26"/>
  <c r="R20" i="26"/>
  <c r="R21" i="26"/>
  <c r="R22" i="26"/>
  <c r="R23" i="26"/>
  <c r="R24" i="26"/>
  <c r="L17" i="26"/>
  <c r="L18" i="26"/>
  <c r="L19" i="26"/>
  <c r="L20" i="26"/>
  <c r="L21" i="26"/>
  <c r="L22" i="26"/>
  <c r="L23" i="26"/>
  <c r="L24" i="26"/>
  <c r="K11" i="26"/>
  <c r="K26" i="26" s="1"/>
  <c r="K12" i="26"/>
  <c r="L12" i="26" s="1"/>
  <c r="K13" i="26"/>
  <c r="L13" i="26" s="1"/>
  <c r="K14" i="26"/>
  <c r="L14" i="26" s="1"/>
  <c r="K15" i="26"/>
  <c r="L15" i="26" s="1"/>
  <c r="K16" i="26"/>
  <c r="L16" i="26" s="1"/>
  <c r="E26" i="26"/>
  <c r="Q26" i="26"/>
  <c r="V11" i="26"/>
  <c r="W11" i="26" s="1"/>
  <c r="V24" i="26"/>
  <c r="W24" i="26" s="1"/>
  <c r="I11" i="26"/>
  <c r="I12" i="26"/>
  <c r="I13" i="26"/>
  <c r="I14" i="26"/>
  <c r="I15" i="26"/>
  <c r="I16" i="26"/>
  <c r="I17" i="26"/>
  <c r="I18" i="26"/>
  <c r="I19" i="26"/>
  <c r="I20" i="26"/>
  <c r="I21" i="26"/>
  <c r="I22" i="26"/>
  <c r="I23" i="26"/>
  <c r="I24" i="26"/>
  <c r="Q27" i="26"/>
  <c r="C27" i="26"/>
  <c r="H27" i="26"/>
  <c r="E27" i="26"/>
  <c r="T27" i="26"/>
  <c r="F27" i="26"/>
  <c r="C159" i="9"/>
  <c r="D159" i="9" s="1"/>
  <c r="E159" i="9" s="1"/>
  <c r="H159" i="9" s="1"/>
  <c r="I159" i="9" s="1"/>
  <c r="S159" i="9" s="1"/>
  <c r="U159" i="9" s="1"/>
  <c r="V159" i="9" s="1"/>
  <c r="J466" i="16"/>
  <c r="Y40" i="15"/>
  <c r="Y39" i="15"/>
  <c r="Y32" i="15"/>
  <c r="K41" i="15"/>
  <c r="M41" i="15" s="1"/>
  <c r="K42" i="15"/>
  <c r="M42" i="15" s="1"/>
  <c r="K43" i="15"/>
  <c r="M43" i="15" s="1"/>
  <c r="K44" i="15"/>
  <c r="M44" i="15" s="1"/>
  <c r="N85" i="15"/>
  <c r="N86" i="15"/>
  <c r="N87" i="15"/>
  <c r="N83" i="15"/>
  <c r="M85" i="15"/>
  <c r="M86" i="15"/>
  <c r="M87" i="15"/>
  <c r="M83" i="15"/>
  <c r="L85" i="15"/>
  <c r="L86" i="15"/>
  <c r="L87" i="15"/>
  <c r="L83" i="15"/>
  <c r="K87" i="15"/>
  <c r="K86" i="15"/>
  <c r="K85" i="15"/>
  <c r="K83" i="15"/>
  <c r="D178" i="9"/>
  <c r="E180" i="9"/>
  <c r="E181" i="9"/>
  <c r="E182" i="9"/>
  <c r="E183" i="9"/>
  <c r="E184" i="9"/>
  <c r="E185" i="9"/>
  <c r="E186" i="9"/>
  <c r="E179" i="9"/>
  <c r="AQ12" i="10" l="1"/>
  <c r="AV9" i="10"/>
  <c r="BC82" i="10"/>
  <c r="AO30" i="10"/>
  <c r="AY12" i="10"/>
  <c r="BB9" i="10"/>
  <c r="BC9" i="10" s="1"/>
  <c r="AR26" i="10"/>
  <c r="AR27" i="10" s="1"/>
  <c r="AW26" i="10"/>
  <c r="AW27" i="10" s="1"/>
  <c r="AW9" i="10"/>
  <c r="AW12" i="10" s="1"/>
  <c r="BB12" i="10"/>
  <c r="BC12" i="10" s="1"/>
  <c r="K38" i="10"/>
  <c r="K59" i="10"/>
  <c r="Q37" i="28"/>
  <c r="T37" i="28" s="1"/>
  <c r="J9" i="28"/>
  <c r="Q33" i="28"/>
  <c r="J13" i="28"/>
  <c r="Q34" i="28"/>
  <c r="T34" i="28" s="1"/>
  <c r="Q35" i="28"/>
  <c r="T35" i="28" s="1"/>
  <c r="J11" i="28"/>
  <c r="Q36" i="28"/>
  <c r="T36" i="28" s="1"/>
  <c r="J10" i="28"/>
  <c r="AE18" i="26"/>
  <c r="AG30" i="26"/>
  <c r="AH30" i="26" s="1"/>
  <c r="AG31" i="26"/>
  <c r="AH31" i="26" s="1"/>
  <c r="AE20" i="26"/>
  <c r="AE21" i="26" s="1"/>
  <c r="AE17" i="26"/>
  <c r="T13" i="28"/>
  <c r="R13" i="28" s="1"/>
  <c r="I16" i="28"/>
  <c r="I17" i="28" s="1"/>
  <c r="T15" i="28"/>
  <c r="R15" i="28" s="1"/>
  <c r="AE22" i="26"/>
  <c r="AE23" i="26" s="1"/>
  <c r="I26" i="26"/>
  <c r="R26" i="26"/>
  <c r="X11" i="26"/>
  <c r="Y11" i="26" s="1"/>
  <c r="Y24" i="26"/>
  <c r="Z24" i="26" s="1"/>
  <c r="R27" i="26"/>
  <c r="L11" i="26"/>
  <c r="L26" i="26" s="1"/>
  <c r="K27" i="26"/>
  <c r="V26" i="26"/>
  <c r="I27" i="26"/>
  <c r="K26" i="10"/>
  <c r="K28" i="10" s="1"/>
  <c r="K16" i="10"/>
  <c r="P16" i="10"/>
  <c r="V161" i="9"/>
  <c r="W159" i="9"/>
  <c r="N88" i="15"/>
  <c r="M88" i="15"/>
  <c r="K88" i="15"/>
  <c r="L88" i="15"/>
  <c r="F33" i="21"/>
  <c r="F34" i="21" s="1"/>
  <c r="E33" i="21"/>
  <c r="E34" i="21" s="1"/>
  <c r="D33" i="21"/>
  <c r="D34" i="21" s="1"/>
  <c r="D11" i="10"/>
  <c r="D15" i="10" s="1"/>
  <c r="D24" i="10" s="1"/>
  <c r="E11" i="10"/>
  <c r="E15" i="10" s="1"/>
  <c r="E24" i="10" s="1"/>
  <c r="F11" i="10"/>
  <c r="F15" i="10" s="1"/>
  <c r="G11" i="10"/>
  <c r="G15" i="10" s="1"/>
  <c r="G16" i="10" s="1"/>
  <c r="H11" i="10"/>
  <c r="H15" i="10" s="1"/>
  <c r="I11" i="10"/>
  <c r="I15" i="10" s="1"/>
  <c r="F67" i="21"/>
  <c r="F68" i="21" s="1"/>
  <c r="P68" i="21"/>
  <c r="P51" i="21"/>
  <c r="P46" i="21"/>
  <c r="K68" i="21"/>
  <c r="K51" i="21"/>
  <c r="K46" i="21"/>
  <c r="K34" i="21"/>
  <c r="D68" i="21"/>
  <c r="D51" i="21"/>
  <c r="D46" i="21"/>
  <c r="E68" i="21"/>
  <c r="E51" i="21"/>
  <c r="E46" i="21"/>
  <c r="F51" i="21"/>
  <c r="F46" i="21"/>
  <c r="K460" i="16"/>
  <c r="K461" i="16"/>
  <c r="K447" i="16"/>
  <c r="F83" i="15"/>
  <c r="F85" i="15"/>
  <c r="F86" i="15"/>
  <c r="F87" i="15"/>
  <c r="S44" i="15"/>
  <c r="S43" i="15"/>
  <c r="S42" i="15"/>
  <c r="S41" i="15"/>
  <c r="S40" i="15"/>
  <c r="U40" i="15" s="1"/>
  <c r="S39" i="15"/>
  <c r="S33" i="15"/>
  <c r="T34" i="15" s="1"/>
  <c r="S32" i="15"/>
  <c r="K48" i="15"/>
  <c r="K51" i="15" s="1"/>
  <c r="M48" i="15" s="1"/>
  <c r="K47" i="15"/>
  <c r="M47" i="15" s="1"/>
  <c r="H46" i="15"/>
  <c r="K45" i="15"/>
  <c r="M45" i="15" s="1"/>
  <c r="K321" i="16"/>
  <c r="G85" i="15"/>
  <c r="G86" i="15"/>
  <c r="G87" i="15"/>
  <c r="J85" i="15"/>
  <c r="J86" i="15"/>
  <c r="J87" i="15"/>
  <c r="H44" i="15"/>
  <c r="H43" i="15"/>
  <c r="H42" i="15"/>
  <c r="H41" i="15"/>
  <c r="K122" i="16"/>
  <c r="K145" i="16"/>
  <c r="K174" i="16"/>
  <c r="K207" i="16"/>
  <c r="K225" i="16" s="1"/>
  <c r="K318" i="16"/>
  <c r="K295" i="16"/>
  <c r="K344" i="16"/>
  <c r="K357" i="16"/>
  <c r="K288" i="16"/>
  <c r="K255" i="16"/>
  <c r="K271" i="16" s="1"/>
  <c r="J225" i="16"/>
  <c r="H225" i="16"/>
  <c r="G225" i="16"/>
  <c r="K181" i="16"/>
  <c r="J167" i="16"/>
  <c r="J195" i="16" s="1"/>
  <c r="H195" i="16"/>
  <c r="G195" i="16"/>
  <c r="K152" i="16"/>
  <c r="J144" i="16"/>
  <c r="J157" i="16" s="1"/>
  <c r="K149" i="16"/>
  <c r="H157" i="16"/>
  <c r="G157" i="16"/>
  <c r="K123" i="16"/>
  <c r="J135" i="16"/>
  <c r="H135" i="16"/>
  <c r="G135" i="16"/>
  <c r="K96" i="16"/>
  <c r="K106" i="16" s="1"/>
  <c r="J106" i="16"/>
  <c r="H106" i="16"/>
  <c r="G106" i="16"/>
  <c r="K49" i="16"/>
  <c r="K57" i="16" s="1"/>
  <c r="J260" i="16"/>
  <c r="J271" i="16" s="1"/>
  <c r="K413" i="16"/>
  <c r="J412" i="16"/>
  <c r="J411" i="16"/>
  <c r="G472" i="16"/>
  <c r="J83" i="16"/>
  <c r="H83" i="16"/>
  <c r="G83" i="16"/>
  <c r="H57" i="16"/>
  <c r="G57" i="16"/>
  <c r="J57" i="16"/>
  <c r="K402" i="16"/>
  <c r="J419" i="16"/>
  <c r="K431" i="16"/>
  <c r="K439" i="16"/>
  <c r="K438" i="16"/>
  <c r="J452" i="16"/>
  <c r="J453" i="16"/>
  <c r="C153" i="9"/>
  <c r="D153" i="9" s="1"/>
  <c r="E153" i="9" s="1"/>
  <c r="H153" i="9" s="1"/>
  <c r="I153" i="9" s="1"/>
  <c r="S153" i="9" s="1"/>
  <c r="U153" i="9" s="1"/>
  <c r="V153" i="9" s="1"/>
  <c r="C147" i="9"/>
  <c r="D147" i="9" s="1"/>
  <c r="E147" i="9" s="1"/>
  <c r="H147" i="9" s="1"/>
  <c r="I147" i="9" s="1"/>
  <c r="S147" i="9" s="1"/>
  <c r="U147" i="9" s="1"/>
  <c r="V147" i="9" s="1"/>
  <c r="S179" i="9"/>
  <c r="S180" i="9"/>
  <c r="S181" i="9"/>
  <c r="S182" i="9"/>
  <c r="S183" i="9"/>
  <c r="S184" i="9"/>
  <c r="S185" i="9"/>
  <c r="S186" i="9"/>
  <c r="D183" i="9"/>
  <c r="D184" i="9"/>
  <c r="D185" i="9"/>
  <c r="I184" i="9"/>
  <c r="I185" i="9"/>
  <c r="M184" i="9"/>
  <c r="M185" i="9"/>
  <c r="M186" i="9"/>
  <c r="I183" i="9"/>
  <c r="H86" i="15"/>
  <c r="H87" i="15"/>
  <c r="H85" i="15"/>
  <c r="I86" i="15"/>
  <c r="I87" i="15"/>
  <c r="I85" i="15"/>
  <c r="J83" i="15"/>
  <c r="I83" i="15"/>
  <c r="H83" i="15"/>
  <c r="G83" i="15"/>
  <c r="M179" i="9"/>
  <c r="M180" i="9"/>
  <c r="M181" i="9"/>
  <c r="M182" i="9"/>
  <c r="M183" i="9"/>
  <c r="I182" i="9"/>
  <c r="I181" i="9"/>
  <c r="I180" i="9"/>
  <c r="I179" i="9"/>
  <c r="D179" i="9"/>
  <c r="D180" i="9"/>
  <c r="D181" i="9"/>
  <c r="D182" i="9"/>
  <c r="F24" i="10" l="1"/>
  <c r="F16" i="10"/>
  <c r="H24" i="10"/>
  <c r="H16" i="10"/>
  <c r="I24" i="10"/>
  <c r="I26" i="10" s="1"/>
  <c r="I28" i="10" s="1"/>
  <c r="I42" i="10" s="1"/>
  <c r="I16" i="10"/>
  <c r="K29" i="10"/>
  <c r="K48" i="10"/>
  <c r="G24" i="10"/>
  <c r="G26" i="10" s="1"/>
  <c r="G28" i="10" s="1"/>
  <c r="G42" i="10" s="1"/>
  <c r="AX82" i="10"/>
  <c r="AX83" i="10" s="1"/>
  <c r="AE58" i="10"/>
  <c r="AE59" i="10" s="1"/>
  <c r="K302" i="16"/>
  <c r="K135" i="16"/>
  <c r="K376" i="16"/>
  <c r="K332" i="16"/>
  <c r="J423" i="16"/>
  <c r="K195" i="16"/>
  <c r="K472" i="16"/>
  <c r="K423" i="16"/>
  <c r="K157" i="16"/>
  <c r="AZ18" i="10"/>
  <c r="X59" i="10"/>
  <c r="K23" i="15"/>
  <c r="T33" i="28"/>
  <c r="T38" i="28" s="1"/>
  <c r="Q38" i="28"/>
  <c r="Z11" i="26"/>
  <c r="Z26" i="26" s="1"/>
  <c r="Z27" i="26" s="1"/>
  <c r="Y26" i="26"/>
  <c r="Y27" i="26" s="1"/>
  <c r="L27" i="26"/>
  <c r="U33" i="15"/>
  <c r="T33" i="15"/>
  <c r="U39" i="15"/>
  <c r="T39" i="15"/>
  <c r="U32" i="15"/>
  <c r="T32" i="15"/>
  <c r="H45" i="15"/>
  <c r="F88" i="15"/>
  <c r="J88" i="15"/>
  <c r="H88" i="15"/>
  <c r="I88" i="15"/>
  <c r="H47" i="15"/>
  <c r="K46" i="15"/>
  <c r="M46" i="15" s="1"/>
  <c r="E178" i="9"/>
  <c r="E190" i="9" s="1"/>
  <c r="C190" i="9"/>
  <c r="D190" i="9" s="1"/>
  <c r="H177" i="9"/>
  <c r="H190" i="9"/>
  <c r="I190" i="9" s="1"/>
  <c r="S178" i="9"/>
  <c r="M178" i="9"/>
  <c r="M190" i="9" s="1"/>
  <c r="H472" i="16"/>
  <c r="G88" i="15"/>
  <c r="K19" i="15"/>
  <c r="M49" i="15" s="1"/>
  <c r="D16" i="10"/>
  <c r="E16" i="10"/>
  <c r="H38" i="10"/>
  <c r="P70" i="21"/>
  <c r="P72" i="21" s="1"/>
  <c r="K70" i="21"/>
  <c r="K72" i="21" s="1"/>
  <c r="K20" i="21" s="1"/>
  <c r="K21" i="21" s="1"/>
  <c r="D70" i="21"/>
  <c r="D72" i="21" s="1"/>
  <c r="D20" i="21" s="1"/>
  <c r="D21" i="21" s="1"/>
  <c r="E70" i="21"/>
  <c r="E72" i="21" s="1"/>
  <c r="E20" i="21" s="1"/>
  <c r="E21" i="21" s="1"/>
  <c r="F70" i="21"/>
  <c r="F72" i="21" s="1"/>
  <c r="F20" i="21" s="1"/>
  <c r="F21" i="21" s="1"/>
  <c r="J472" i="16"/>
  <c r="W147" i="9"/>
  <c r="V149" i="9"/>
  <c r="V155" i="9"/>
  <c r="W153" i="9"/>
  <c r="H48" i="15"/>
  <c r="H51" i="15" s="1"/>
  <c r="I51" i="15" s="1"/>
  <c r="F26" i="10"/>
  <c r="F28" i="10" s="1"/>
  <c r="F42" i="10" s="1"/>
  <c r="AZ82" i="10" l="1"/>
  <c r="P20" i="21"/>
  <c r="P21" i="21" s="1"/>
  <c r="R38" i="28"/>
  <c r="E177" i="9"/>
  <c r="T15" i="9"/>
  <c r="C176" i="9"/>
  <c r="L177" i="9"/>
  <c r="W15" i="9" s="1"/>
  <c r="H176" i="9"/>
  <c r="S177" i="9"/>
  <c r="L190" i="9"/>
  <c r="H26" i="10"/>
  <c r="H28" i="10" s="1"/>
  <c r="H42" i="10" s="1"/>
  <c r="E38" i="10"/>
  <c r="E26" i="10"/>
  <c r="E28" i="10" s="1"/>
  <c r="E42" i="10" s="1"/>
  <c r="D26" i="10"/>
  <c r="D28" i="10" s="1"/>
  <c r="G38" i="10"/>
  <c r="S26" i="10"/>
  <c r="N26" i="10"/>
  <c r="F38" i="10"/>
  <c r="L176" i="9" l="1"/>
  <c r="H175" i="9"/>
  <c r="S176" i="9"/>
  <c r="M177" i="9"/>
  <c r="E176" i="9"/>
  <c r="T16" i="9"/>
  <c r="C175" i="9"/>
  <c r="S28" i="10"/>
  <c r="N28" i="10"/>
  <c r="N42" i="10" s="1"/>
  <c r="S35" i="10" l="1"/>
  <c r="S42" i="10"/>
  <c r="BD12" i="10"/>
  <c r="BE12" i="10" s="1"/>
  <c r="E175" i="9"/>
  <c r="T17" i="9"/>
  <c r="L175" i="9"/>
  <c r="S175" i="9"/>
  <c r="W16" i="9"/>
  <c r="M176" i="9"/>
  <c r="S55" i="10" l="1"/>
  <c r="S16" i="10"/>
  <c r="AZ25" i="10"/>
  <c r="AZ21" i="10" s="1"/>
  <c r="AY21" i="10"/>
  <c r="M175" i="9"/>
  <c r="W17" i="9"/>
  <c r="S56" i="10" l="1"/>
  <c r="AM50" i="10"/>
  <c r="BC81" i="10"/>
  <c r="BC83" i="10" s="1"/>
  <c r="AZ12" i="10"/>
  <c r="P26" i="10"/>
  <c r="P28" i="10" s="1"/>
  <c r="P48" i="10" s="1"/>
  <c r="S59" i="10" l="1"/>
  <c r="S45" i="10"/>
  <c r="S46" i="10" s="1"/>
  <c r="AY80" i="10"/>
  <c r="AY83" i="10" s="1"/>
  <c r="AZ80" i="10"/>
  <c r="AZ83" i="10" s="1"/>
  <c r="C125" i="9"/>
  <c r="J193" i="28"/>
  <c r="I193" i="28" s="1"/>
  <c r="W63" i="10" l="1"/>
  <c r="W64" i="10" s="1"/>
  <c r="J17" i="45"/>
  <c r="I17" i="45"/>
  <c r="J38" i="45" l="1"/>
  <c r="J46" i="45" s="1"/>
  <c r="K17" i="45"/>
  <c r="L17" i="45" s="1"/>
  <c r="K36" i="45" l="1"/>
  <c r="L36" i="45" s="1"/>
  <c r="J89" i="45"/>
  <c r="J98" i="45" s="1"/>
  <c r="J112" i="45" s="1"/>
  <c r="J147" i="45"/>
  <c r="J150" i="45" s="1"/>
  <c r="I183" i="45"/>
  <c r="I186" i="45" s="1"/>
  <c r="J185" i="45" s="1"/>
  <c r="I38" i="45"/>
  <c r="J184" i="45" l="1"/>
  <c r="K38" i="45"/>
  <c r="L38" i="45" s="1"/>
  <c r="I46" i="45"/>
  <c r="J183" i="45"/>
  <c r="J186" i="45" l="1"/>
  <c r="I89" i="45"/>
  <c r="I147" i="45"/>
  <c r="I150" i="45" s="1"/>
  <c r="K46" i="45"/>
  <c r="I139" i="45"/>
  <c r="I142" i="45" s="1"/>
  <c r="J141" i="45" s="1"/>
  <c r="U46" i="45" l="1"/>
  <c r="K147" i="45"/>
  <c r="M147" i="45" s="1"/>
  <c r="L46" i="45"/>
  <c r="I173" i="45"/>
  <c r="J139" i="45"/>
  <c r="J140" i="45"/>
  <c r="K89" i="45"/>
  <c r="L89" i="45" s="1"/>
  <c r="I98" i="45"/>
  <c r="J142" i="45" l="1"/>
  <c r="I112" i="45"/>
  <c r="I199" i="45" s="1"/>
  <c r="K98" i="45"/>
  <c r="I176" i="45"/>
  <c r="J173" i="45"/>
  <c r="L147" i="45"/>
  <c r="K150" i="45"/>
  <c r="L150" i="45" l="1"/>
  <c r="M150" i="45"/>
  <c r="J176" i="45"/>
  <c r="I167" i="45"/>
  <c r="U98" i="45"/>
  <c r="K112" i="45"/>
  <c r="L98" i="45"/>
  <c r="J194" i="45"/>
  <c r="J196" i="45"/>
  <c r="J195" i="45"/>
  <c r="J197" i="45"/>
  <c r="L112" i="45" l="1"/>
  <c r="U112" i="45"/>
</calcChain>
</file>

<file path=xl/sharedStrings.xml><?xml version="1.0" encoding="utf-8"?>
<sst xmlns="http://schemas.openxmlformats.org/spreadsheetml/2006/main" count="5684" uniqueCount="2453">
  <si>
    <t>Blackberry</t>
  </si>
  <si>
    <t>Recipe</t>
  </si>
  <si>
    <t>Eurobank</t>
  </si>
  <si>
    <t>Fairfax India</t>
  </si>
  <si>
    <t>Quess</t>
  </si>
  <si>
    <t>Thomas Cook India</t>
  </si>
  <si>
    <t>Kennedy Wilson</t>
  </si>
  <si>
    <t>Stelco</t>
  </si>
  <si>
    <t>Stocks</t>
  </si>
  <si>
    <t>IIFL</t>
  </si>
  <si>
    <t>Value</t>
  </si>
  <si>
    <t>Sanmar</t>
  </si>
  <si>
    <t>Seven Islands</t>
  </si>
  <si>
    <t>Carrying</t>
  </si>
  <si>
    <t>shares</t>
  </si>
  <si>
    <t>(million)</t>
  </si>
  <si>
    <t>Change</t>
  </si>
  <si>
    <t>(mill $)</t>
  </si>
  <si>
    <t>EUR</t>
  </si>
  <si>
    <t>Total</t>
  </si>
  <si>
    <t>$US</t>
  </si>
  <si>
    <t>$C</t>
  </si>
  <si>
    <t>Com Int Bank - Egypt</t>
  </si>
  <si>
    <t>EGP</t>
  </si>
  <si>
    <t>INR</t>
  </si>
  <si>
    <t>C$</t>
  </si>
  <si>
    <t>Local Currency</t>
  </si>
  <si>
    <t>million shares outstanding</t>
  </si>
  <si>
    <t>EUROB.AT</t>
  </si>
  <si>
    <t>BB</t>
  </si>
  <si>
    <t>KW</t>
  </si>
  <si>
    <t>EGS60121C018.CA</t>
  </si>
  <si>
    <t>FIH-U.TO</t>
  </si>
  <si>
    <t>THOMASCOOK.BO</t>
  </si>
  <si>
    <t>QUESS.BO</t>
  </si>
  <si>
    <t>Ticker</t>
  </si>
  <si>
    <t>Yahoo Fin</t>
  </si>
  <si>
    <t xml:space="preserve"> Local Currency QTD</t>
  </si>
  <si>
    <t>own</t>
  </si>
  <si>
    <t>%</t>
  </si>
  <si>
    <t>n/a</t>
  </si>
  <si>
    <t>Other</t>
  </si>
  <si>
    <t>US$</t>
  </si>
  <si>
    <t>Fairfax</t>
  </si>
  <si>
    <t>Date</t>
  </si>
  <si>
    <t>Price</t>
  </si>
  <si>
    <t>May</t>
  </si>
  <si>
    <t>Nov</t>
  </si>
  <si>
    <t>Comments</t>
  </si>
  <si>
    <t>July</t>
  </si>
  <si>
    <t>Dec</t>
  </si>
  <si>
    <t>Aug</t>
  </si>
  <si>
    <t>Currency Conversion</t>
  </si>
  <si>
    <t>CSB Bank</t>
  </si>
  <si>
    <t>million</t>
  </si>
  <si>
    <t>Atlas Mara</t>
  </si>
  <si>
    <t>Astarta Holdings NV</t>
  </si>
  <si>
    <t>Farmers Edge</t>
  </si>
  <si>
    <t>PLN</t>
  </si>
  <si>
    <t>Digit</t>
  </si>
  <si>
    <t>DXT.TO</t>
  </si>
  <si>
    <t>Gulf Insurance Group</t>
  </si>
  <si>
    <t>Eurolife</t>
  </si>
  <si>
    <t>Pet Health</t>
  </si>
  <si>
    <t>Mosaic Capital</t>
  </si>
  <si>
    <t>Boat Rocker</t>
  </si>
  <si>
    <t>Kitchen Stuff Plus</t>
  </si>
  <si>
    <t>Rouge Media</t>
  </si>
  <si>
    <t>William Ashley</t>
  </si>
  <si>
    <t>US$ Value</t>
  </si>
  <si>
    <t>Crescent Capital</t>
  </si>
  <si>
    <t>Franklin Resources</t>
  </si>
  <si>
    <t>Alphabet</t>
  </si>
  <si>
    <t>Helios Fairfax Partners</t>
  </si>
  <si>
    <t>HFPC-U.TO</t>
  </si>
  <si>
    <t>John Keells Hold PLC</t>
  </si>
  <si>
    <t>LKR</t>
  </si>
  <si>
    <t>JHK.N0000:CSE</t>
  </si>
  <si>
    <t>owned</t>
  </si>
  <si>
    <t>Strike price is $15; expire 2024</t>
  </si>
  <si>
    <t>Fairfax Total Return Swaps</t>
  </si>
  <si>
    <t>FRFHF</t>
  </si>
  <si>
    <t>Purchased latter part of 2020; market value US$344.45</t>
  </si>
  <si>
    <t>ALS.TO</t>
  </si>
  <si>
    <t>BNS</t>
  </si>
  <si>
    <t>Bank of Nova Scotia</t>
  </si>
  <si>
    <t>General Electric</t>
  </si>
  <si>
    <t>General Motors</t>
  </si>
  <si>
    <t>Helmerich &amp; Payne</t>
  </si>
  <si>
    <t>Johnson and Johnson</t>
  </si>
  <si>
    <t>Merck</t>
  </si>
  <si>
    <t>Pfizer</t>
  </si>
  <si>
    <t>Taiwan Semi</t>
  </si>
  <si>
    <t>TSM</t>
  </si>
  <si>
    <t>PFE</t>
  </si>
  <si>
    <t>MRK</t>
  </si>
  <si>
    <t>JNJ</t>
  </si>
  <si>
    <t>HP</t>
  </si>
  <si>
    <t>GM</t>
  </si>
  <si>
    <t>owned shares source</t>
  </si>
  <si>
    <t>Leon's Furniture</t>
  </si>
  <si>
    <t>Total Limited Partnerships</t>
  </si>
  <si>
    <t>B.) Associates - Equity Accounted (gains or losses do not flow through financial statements)</t>
  </si>
  <si>
    <t>C.) Consolidated Equities (gains or losses do not flow through financial statements)</t>
  </si>
  <si>
    <t>EXCO Resources</t>
  </si>
  <si>
    <t>Peak Achievement</t>
  </si>
  <si>
    <t>Kennedy Wilson Partnerships</t>
  </si>
  <si>
    <t>Total A: Mark to Market</t>
  </si>
  <si>
    <t>Total B: Associates - Equity Accounted</t>
  </si>
  <si>
    <t>Total C: Consolidated Equities</t>
  </si>
  <si>
    <t>Total D: Other</t>
  </si>
  <si>
    <t>Total A + B + C + D</t>
  </si>
  <si>
    <t>Total: A + B + C</t>
  </si>
  <si>
    <t>FV over Carrying Value</t>
  </si>
  <si>
    <t>Foran Mining</t>
  </si>
  <si>
    <t>July 2021: Sold for C$277.3 million to FFH and Mark Yushishen's MCC Holdings</t>
  </si>
  <si>
    <t>ESI.TO</t>
  </si>
  <si>
    <t>Ensign Energy Services</t>
  </si>
  <si>
    <t>IPO</t>
  </si>
  <si>
    <t>Capital raise</t>
  </si>
  <si>
    <t>Performance fee</t>
  </si>
  <si>
    <t>net</t>
  </si>
  <si>
    <t>CR</t>
  </si>
  <si>
    <t>profit</t>
  </si>
  <si>
    <t>Not including runoff</t>
  </si>
  <si>
    <t>premiums</t>
  </si>
  <si>
    <t>BDT Capital Partners</t>
  </si>
  <si>
    <t>Blue Ant</t>
  </si>
  <si>
    <t>EXCO</t>
  </si>
  <si>
    <t>Net gains (losses) on investments</t>
  </si>
  <si>
    <t>Pre-tax income (loss)</t>
  </si>
  <si>
    <t>Income taxes</t>
  </si>
  <si>
    <t>Net earnings attrib. to FFH shareh.</t>
  </si>
  <si>
    <t>Interest expense</t>
  </si>
  <si>
    <t>Per share</t>
  </si>
  <si>
    <t>Operating income - ins &amp; reins</t>
  </si>
  <si>
    <t>Avg Tax Rate</t>
  </si>
  <si>
    <t>Non-controlling interests</t>
  </si>
  <si>
    <t>1.)</t>
  </si>
  <si>
    <t>2.)</t>
  </si>
  <si>
    <t>3.)</t>
  </si>
  <si>
    <t>4.)</t>
  </si>
  <si>
    <t>5.)</t>
  </si>
  <si>
    <t>6.)</t>
  </si>
  <si>
    <t>7.)</t>
  </si>
  <si>
    <t>8.)</t>
  </si>
  <si>
    <t>9.)</t>
  </si>
  <si>
    <t>10.)</t>
  </si>
  <si>
    <t>Q4</t>
  </si>
  <si>
    <t>Avante Logixx</t>
  </si>
  <si>
    <t>Mytilineos</t>
  </si>
  <si>
    <t>MYTIL.AT</t>
  </si>
  <si>
    <t>FFH shares outstanding Dec 21, 2021</t>
  </si>
  <si>
    <t>Other Limited Partnerships</t>
  </si>
  <si>
    <t>H&amp;R Block</t>
  </si>
  <si>
    <t>BABA</t>
  </si>
  <si>
    <t>ShawKwei &amp; Partners</t>
  </si>
  <si>
    <t>Other Private Investments</t>
  </si>
  <si>
    <t>share</t>
  </si>
  <si>
    <t>count</t>
  </si>
  <si>
    <t>Sept</t>
  </si>
  <si>
    <t>March</t>
  </si>
  <si>
    <t>IIFL Wealth</t>
  </si>
  <si>
    <t>Feb</t>
  </si>
  <si>
    <t>Q1 '22</t>
  </si>
  <si>
    <t>Cash</t>
  </si>
  <si>
    <t>Short Term</t>
  </si>
  <si>
    <t>Bonds</t>
  </si>
  <si>
    <t>Yield</t>
  </si>
  <si>
    <t>FOM.V</t>
  </si>
  <si>
    <t>Share</t>
  </si>
  <si>
    <t>US$ YE</t>
  </si>
  <si>
    <t>Grivalia Hospitality</t>
  </si>
  <si>
    <t>Resolute FP sale</t>
  </si>
  <si>
    <t>Atlas take private</t>
  </si>
  <si>
    <t>Sale</t>
  </si>
  <si>
    <t>Purchase</t>
  </si>
  <si>
    <t>US$14.45/share; no new cash from Fairfax</t>
  </si>
  <si>
    <t>Sokol, Fairfax, Washington, ONE = own 68%</t>
  </si>
  <si>
    <t>Pet insurance sale to JAB</t>
  </si>
  <si>
    <t>JAB notes</t>
  </si>
  <si>
    <t>JAB - JCP V investment fund</t>
  </si>
  <si>
    <t>Avante Logixx Inc</t>
  </si>
  <si>
    <t>Deb conversion</t>
  </si>
  <si>
    <t>Insurance sale</t>
  </si>
  <si>
    <t>Take private</t>
  </si>
  <si>
    <t>Debt issuance</t>
  </si>
  <si>
    <t>Interest rate: 5.625%; to buy Allied World minority stake</t>
  </si>
  <si>
    <t>5.4 million shares @ $12/share; Fairfax owns 41.8% of Fairfax India</t>
  </si>
  <si>
    <t>Exercised warrants</t>
  </si>
  <si>
    <t>Convertible Debentures</t>
  </si>
  <si>
    <t>Proceeds</t>
  </si>
  <si>
    <t>Cost</t>
  </si>
  <si>
    <t>Contingent Value Right</t>
  </si>
  <si>
    <t>CVR of up to $6/share future duty deposit refund x 30.548 million shares</t>
  </si>
  <si>
    <t>Paper Excellence US$2.7 billion buyout; 30.548 shares x $20.50; Q1 2023 close</t>
  </si>
  <si>
    <t>Preferred equity</t>
  </si>
  <si>
    <t>$3 billion added; total platform = $5 billion</t>
  </si>
  <si>
    <t>First mortgage debt investment platform</t>
  </si>
  <si>
    <t>Perpetual preferred stock with 4.75% annual dividend</t>
  </si>
  <si>
    <t>7 year Warrants</t>
  </si>
  <si>
    <t>13 million common shares; $23 strike price</t>
  </si>
  <si>
    <t>Fairfax share repurchase</t>
  </si>
  <si>
    <t>2 million shares @ $500/share</t>
  </si>
  <si>
    <t>All figures are US$</t>
  </si>
  <si>
    <t>Odyssey Re</t>
  </si>
  <si>
    <t>CCIB &amp; OMERS</t>
  </si>
  <si>
    <t>Sale of 9.9% interest</t>
  </si>
  <si>
    <t>Western P&amp;C Insurance Co</t>
  </si>
  <si>
    <t>OMERS</t>
  </si>
  <si>
    <t>Contingent value instrument; entitled to be reeived post-closing</t>
  </si>
  <si>
    <t>Fund raising round</t>
  </si>
  <si>
    <t>Fairfax booked $1.4 billion unrealized gain. $200 million raised by Digit from asset managers; values total of Digit at $3.5 billion.</t>
  </si>
  <si>
    <t>Altius</t>
  </si>
  <si>
    <t>Converted debentures to 5.3 million shares @ C$1.56/share = 19.9% ownership</t>
  </si>
  <si>
    <t>Exercised 6.67 million warrants @ C$15 = 13.94% ownership</t>
  </si>
  <si>
    <t>Fairfax tendered their 7.2 million shares C$25</t>
  </si>
  <si>
    <t>Warrants</t>
  </si>
  <si>
    <t>8 million warrants @ C$2.09/share</t>
  </si>
  <si>
    <t>Singapore Re</t>
  </si>
  <si>
    <t>IIFL Finance</t>
  </si>
  <si>
    <t>Fairfax sold 7% stake held directly; still hold via Fairfax India</t>
  </si>
  <si>
    <t>Fairfax sold 4.27% stake held directly; Fairfax India sold stake March 2022</t>
  </si>
  <si>
    <t>Fairfax increased stake from 33.5% to 78.4%; manages real estate in Greece, Cypress, Panama</t>
  </si>
  <si>
    <t>Sold 60% to CVC Capital Partners</t>
  </si>
  <si>
    <t>Riverstone Europe (Runoff)</t>
  </si>
  <si>
    <t>Asset Value Loan Notes - $1.3 billion of investments sold to CVC ($1.1 billion Dec 31, 2021)</t>
  </si>
  <si>
    <t>Toys "R" Us Retail</t>
  </si>
  <si>
    <t>Fairfax still owns real estate</t>
  </si>
  <si>
    <t>Acquired 30% stake from OMERS; Fairfax owns 80% Eurobank owns 20%</t>
  </si>
  <si>
    <t>Increased ownership from 28.1% to 96%; afterwards increased to 100%</t>
  </si>
  <si>
    <t>Brit Insurance</t>
  </si>
  <si>
    <t>Fairfax Transaction Summary</t>
  </si>
  <si>
    <t>Buyer was RiverStone US; run-off specialist of Fairfax; size of co and purchase price unknown</t>
  </si>
  <si>
    <t>For $475 million purchased AXA's ops in MENA</t>
  </si>
  <si>
    <t>AXA Ukraine</t>
  </si>
  <si>
    <t>Including warrants Fairfax owns 80% of AGT</t>
  </si>
  <si>
    <t>Merger</t>
  </si>
  <si>
    <t>Owned 53% Grivalia &amp; 18% Eurobank; post owns 32.4% of Eurobank</t>
  </si>
  <si>
    <t>Merged with AXA to become Fairfax Ukraine</t>
  </si>
  <si>
    <t>Riverstone UK</t>
  </si>
  <si>
    <t>Reverse takeover</t>
  </si>
  <si>
    <t>Exchange</t>
  </si>
  <si>
    <t>Fairfax Africa</t>
  </si>
  <si>
    <t>Additional investment</t>
  </si>
  <si>
    <t>12.3 million shares @$11.75/share; Fairfax ows 30.2% of Fairfax India</t>
  </si>
  <si>
    <t>AIG Latin Am &amp; East Europe</t>
  </si>
  <si>
    <t>Allied World</t>
  </si>
  <si>
    <t>OMERS, AIMCo, others own 32.5% for $1,580</t>
  </si>
  <si>
    <t>AIG Uruguay</t>
  </si>
  <si>
    <t>Named SoughBridge Uruguay</t>
  </si>
  <si>
    <t>51% interest sold to Recipe for $7.9 million + 3.4 million Recipe shares (Fairfax ownership of Recipe 43.2%)</t>
  </si>
  <si>
    <t>$114.4 million = 7.66 million Fairfax India shares; Fairfax owns 33.6% of Fairfax India (was 30.2%)</t>
  </si>
  <si>
    <t>12.3 million shares @ $12.25/share</t>
  </si>
  <si>
    <t>Purchased 11.2% stake from OMERS; Fairfax's ownership in Brit = 88%</t>
  </si>
  <si>
    <t>Sporting Life &amp; Golf Town</t>
  </si>
  <si>
    <t>Post merger Fairfax ows 65.1%</t>
  </si>
  <si>
    <t>Sri Lankan insurer; renamed Fairfirst insurance</t>
  </si>
  <si>
    <t>AMAG Insurance (Indonesia)</t>
  </si>
  <si>
    <t>Fairfax owns 80%</t>
  </si>
  <si>
    <t>Renamed Bryte Insurance</t>
  </si>
  <si>
    <t>Malaysian insurer</t>
  </si>
  <si>
    <t>30% of Brit sold to OMERS</t>
  </si>
  <si>
    <t>Ridley</t>
  </si>
  <si>
    <t>Fairfax owns 51%</t>
  </si>
  <si>
    <t>Fairfax owns 80%; renamed Fairfax Indonesia</t>
  </si>
  <si>
    <t>Fairfax owns 100%</t>
  </si>
  <si>
    <t>Crum &amp; Forster purchased 100%</t>
  </si>
  <si>
    <t>AS Re</t>
  </si>
  <si>
    <t>America Safety's Bermuda based reinsurance sub</t>
  </si>
  <si>
    <t>Prime Restaurants</t>
  </si>
  <si>
    <t>81.7% interest to CARA in exchange for shares/warrants = $54.5 million</t>
  </si>
  <si>
    <t>Fairfax received dividend of $123.7 million; some business run off</t>
  </si>
  <si>
    <t>Thomas Cook</t>
  </si>
  <si>
    <t xml:space="preserve">Fairfax owns 100%; </t>
  </si>
  <si>
    <t>Cunningham Lindsey</t>
  </si>
  <si>
    <t>Insurance Sale</t>
  </si>
  <si>
    <t>Recognized net gain of $167 million.</t>
  </si>
  <si>
    <t>Thomas cook acquired 77.3% for $46.8 million; became Quess; funded via private placement; Fairfax owns 75%</t>
  </si>
  <si>
    <t>First Mercury</t>
  </si>
  <si>
    <t>Fairfax owns 75%</t>
  </si>
  <si>
    <t>TIG Indemnity</t>
  </si>
  <si>
    <t>Realized net gain before taxes of $7.5 million</t>
  </si>
  <si>
    <t>Fairfax owns 100%; prior to acquisition Fairfax had owned 8.2%</t>
  </si>
  <si>
    <t>GAB Robins North America</t>
  </si>
  <si>
    <t>Provider of loss adjusting and claims management services</t>
  </si>
  <si>
    <t>Mega Brands</t>
  </si>
  <si>
    <t>Fairfax buys 500,000 common shares; including warrants owns 32.3%</t>
  </si>
  <si>
    <t>SFK Pulp becomes Fibrek; Fairfax owns 20.38%</t>
  </si>
  <si>
    <t>Fairfax owns 41.3%; partners with KIPCO</t>
  </si>
  <si>
    <t>Fairfax owns 18.85%</t>
  </si>
  <si>
    <t>Imvescor Restaurant Group</t>
  </si>
  <si>
    <t>If warrants exercised, Fairfax owns 45%</t>
  </si>
  <si>
    <t>Sold to GMP Securities</t>
  </si>
  <si>
    <t>Reitmans</t>
  </si>
  <si>
    <t>Torstar</t>
  </si>
  <si>
    <t>Fairfax owns 22.7%</t>
  </si>
  <si>
    <t>Tembec</t>
  </si>
  <si>
    <t>Fairfax owns 19.9%</t>
  </si>
  <si>
    <t>Fairfax owns 27.4%</t>
  </si>
  <si>
    <t>Sell down position</t>
  </si>
  <si>
    <t>After sale Fairfax owns 17.4%</t>
  </si>
  <si>
    <t>Exit position</t>
  </si>
  <si>
    <t>After sale Fairfax owns 14.2%</t>
  </si>
  <si>
    <t>Position exited</t>
  </si>
  <si>
    <t>Fairfax owns 40.6% (increased position by 13.3%</t>
  </si>
  <si>
    <t>Fairfax owns 32.35%</t>
  </si>
  <si>
    <t>Small add to position</t>
  </si>
  <si>
    <t xml:space="preserve">7.39 million shares  x C$3 </t>
  </si>
  <si>
    <t>Vault Insurance</t>
  </si>
  <si>
    <t>Fairfax continues to own 10% of Vault</t>
  </si>
  <si>
    <t>Loan from Fairfax</t>
  </si>
  <si>
    <t>Loan</t>
  </si>
  <si>
    <t>Fairfax owns 45.3% equity interest</t>
  </si>
  <si>
    <t>Sell 12.18%; Fairfax owns 22%. Investment gain = $223.3 million</t>
  </si>
  <si>
    <t>Bought via multiple transactions between Jan 3 and May 10.</t>
  </si>
  <si>
    <t>Add to position</t>
  </si>
  <si>
    <t>Sold 12.1%; Fairfax owns 9.9%. Investment gain = $372.1 million. ICICI Lombard launched IPO.</t>
  </si>
  <si>
    <t>Capital raise; ownership fell slightly to 67.8%</t>
  </si>
  <si>
    <t>Convertible preferred shares</t>
  </si>
  <si>
    <t>Fairfax owns 81.2%. Sigma engaged in global water and wastewater infrastructure projects</t>
  </si>
  <si>
    <t>Arab Orient</t>
  </si>
  <si>
    <t>Sold to GIG at cost (purchased in 2008)</t>
  </si>
  <si>
    <t>Pacific Insurance (Malaysia)</t>
  </si>
  <si>
    <t>After sale owns 11.1%. Investment gain = $77.9 million</t>
  </si>
  <si>
    <t>Recapitalization</t>
  </si>
  <si>
    <t>Fairfax owns 16.5% (does warrants bump this up to 31%?)</t>
  </si>
  <si>
    <t>Exercise of warrants; Fairfax increased ownership from 17.3 to 33.6%</t>
  </si>
  <si>
    <t>Fairfax owns 25.8%</t>
  </si>
  <si>
    <t>Sold all of position</t>
  </si>
  <si>
    <t>Insurance</t>
  </si>
  <si>
    <t>Non-Insurance</t>
  </si>
  <si>
    <t>Polskie (PTU)</t>
  </si>
  <si>
    <t>Gain on sale of $7 million</t>
  </si>
  <si>
    <t>Fairfax owns 81.7%</t>
  </si>
  <si>
    <t>To acquire and maintain 26% interest; fair value = $230.4 million</t>
  </si>
  <si>
    <t>7.2%  stake</t>
  </si>
  <si>
    <t>FBD Group - Ireland</t>
  </si>
  <si>
    <t>New insurance buy</t>
  </si>
  <si>
    <t>Insurance buy</t>
  </si>
  <si>
    <t>Buy</t>
  </si>
  <si>
    <t>Runoff buy</t>
  </si>
  <si>
    <t>New equity buy</t>
  </si>
  <si>
    <t>Debenture buy</t>
  </si>
  <si>
    <t>Add to Torstar</t>
  </si>
  <si>
    <t>Re-insurance buy</t>
  </si>
  <si>
    <t>Life insurance buy</t>
  </si>
  <si>
    <t>Retail operations sale</t>
  </si>
  <si>
    <t>Sale of 14% interest</t>
  </si>
  <si>
    <t>Debt buy</t>
  </si>
  <si>
    <t>Bankruptcy/Restructuring</t>
  </si>
  <si>
    <t>Fairfax owns $131 million in 25 year debentures = 20% equity interest in new venture.</t>
  </si>
  <si>
    <t>Take private - Mark Yusishen</t>
  </si>
  <si>
    <t>Churchill Manitoba port railway</t>
  </si>
  <si>
    <t>Fairfax exits participation</t>
  </si>
  <si>
    <t>Along with AGT</t>
  </si>
  <si>
    <t>Exercise of warrants</t>
  </si>
  <si>
    <t>Seaspan (Atlas) #2</t>
  </si>
  <si>
    <t>Seaspan (Atlas) #1</t>
  </si>
  <si>
    <t>Seaspan (Atlas) #3</t>
  </si>
  <si>
    <t>Post APR transaction Fairfax owns 99.9 million Atlas shares</t>
  </si>
  <si>
    <t>Atlas #6</t>
  </si>
  <si>
    <t>Atlas #5</t>
  </si>
  <si>
    <t>Fairfax also gets 1 million warrants exercise price @ $13.71/share</t>
  </si>
  <si>
    <t>APR Energy #2</t>
  </si>
  <si>
    <t>APR Energy #3</t>
  </si>
  <si>
    <t>Fairfax still owns 6 million warrants</t>
  </si>
  <si>
    <t xml:space="preserve">Aug </t>
  </si>
  <si>
    <t>Fairfax ownership increases from 3.8% to 18%</t>
  </si>
  <si>
    <t>Eurobank #2</t>
  </si>
  <si>
    <t>OMERS also bought 40% stake for $180 million</t>
  </si>
  <si>
    <t>Grivalia Properties #4</t>
  </si>
  <si>
    <t xml:space="preserve">Eurolife #2 </t>
  </si>
  <si>
    <t>Bought 10% from OMERS; Fairfax owns 50%</t>
  </si>
  <si>
    <t>Eurolife #3</t>
  </si>
  <si>
    <t>Grivalia #5 &amp; Eurobank #3</t>
  </si>
  <si>
    <t>APR #4</t>
  </si>
  <si>
    <t>Fairfax India #1</t>
  </si>
  <si>
    <t>Fairfax India #2</t>
  </si>
  <si>
    <t>Fairfax India #3</t>
  </si>
  <si>
    <t>Fairfax India #4</t>
  </si>
  <si>
    <t>In 2011 Fairfax purchases intial position of 3.8% for ?</t>
  </si>
  <si>
    <t>Bank of America</t>
  </si>
  <si>
    <t>OXY</t>
  </si>
  <si>
    <t>Occidental Petroleum</t>
  </si>
  <si>
    <t>Intel</t>
  </si>
  <si>
    <t>Chevron</t>
  </si>
  <si>
    <t>25 mill shares @ $8.05; Fairfax owns 45.1% (124.8 million shares)</t>
  </si>
  <si>
    <t>Mastercraft</t>
  </si>
  <si>
    <t>Lumen Technologies</t>
  </si>
  <si>
    <t>Q3 13F; 1.868 million shares X $26 estimated value</t>
  </si>
  <si>
    <t>Q3 13F; 1.425 million shares X $12.50 estimated value</t>
  </si>
  <si>
    <t>Q2 13F; 314 thousand shares (1/2 bought in Q2 &amp; 1/2 bought Q3 2021)</t>
  </si>
  <si>
    <t>Q2 13F; 292.8 thousand shares (1/2 bought in Q2)</t>
  </si>
  <si>
    <t>Q3 13F; 1.12 million shares X $25 estimated value</t>
  </si>
  <si>
    <t>Q1 13F: 1.599 million shares X (guess) $15 (could be much lower)</t>
  </si>
  <si>
    <t>Q3 13F: 2.359 million shares X (guess) $10.10</t>
  </si>
  <si>
    <t>IBM</t>
  </si>
  <si>
    <t>Sold Q2 to Q4 13F: 1.36 million shares X est $153/share</t>
  </si>
  <si>
    <t>IBM (initiated Q3 2014)</t>
  </si>
  <si>
    <t>6.56% preferred convertible @ $10.70/share</t>
  </si>
  <si>
    <t>6% preferred converible @ $12.41/share</t>
  </si>
  <si>
    <t>400 thousand shares @ $10.70/share</t>
  </si>
  <si>
    <t>Fairfax owns 18.5% of KW</t>
  </si>
  <si>
    <t>In 2010 &amp; 2011 invested $290 million in real estate deals with KW</t>
  </si>
  <si>
    <t>First runoff acquisition; part of Riverstone</t>
  </si>
  <si>
    <t>CPI-linked derivative contracts</t>
  </si>
  <si>
    <t>Cheung Kong</t>
  </si>
  <si>
    <t>realized gain amount (+62%)</t>
  </si>
  <si>
    <t>realized gain amount (+13%)</t>
  </si>
  <si>
    <t>realized gain amount (+50%)</t>
  </si>
  <si>
    <t>Sandridge Energy</t>
  </si>
  <si>
    <t>Primarily convertible preferds</t>
  </si>
  <si>
    <t>Invested Q3 2008 &amp; Nov 2009</t>
  </si>
  <si>
    <t>Prem 2015AR: sounds like Fairfax lost 100% of investment. $329 million?</t>
  </si>
  <si>
    <t>Bankruptcy (initial investment 2008)</t>
  </si>
  <si>
    <t>Kraft</t>
  </si>
  <si>
    <t>06 to 09</t>
  </si>
  <si>
    <t>08 &amp; 09</t>
  </si>
  <si>
    <t>Chairman of IC was Wilbur Ross; p8 2011 AR</t>
  </si>
  <si>
    <t>International Coal Group #1</t>
  </si>
  <si>
    <t>International Coal Group #2</t>
  </si>
  <si>
    <t>International Coal Group #3</t>
  </si>
  <si>
    <t>Total realized gain on ICG = $341.2 million (sold in 2 tranches in 2010 and 2011)</t>
  </si>
  <si>
    <t>Raised stake to 5.12%;  owns 26.85 million shares up from 11.8 million</t>
  </si>
  <si>
    <t>Fairfax ownership from 2% to 23.2%; opportunistic (after tsunami)</t>
  </si>
  <si>
    <t>Equity hedges</t>
  </si>
  <si>
    <t>Unrealized gain. YE value = $328.6; avg term 9.4 years</t>
  </si>
  <si>
    <t>Unrealized losses = cost 4.2% in total return in 2010</t>
  </si>
  <si>
    <t>Unrealized gain</t>
  </si>
  <si>
    <t>Unrealized loss</t>
  </si>
  <si>
    <t>Sale to GIG</t>
  </si>
  <si>
    <t>Fairfax owns 87.1%; "vehicle for expansion in India"</t>
  </si>
  <si>
    <t>Fairfax holds 39.5% interest ($88 million gain on sale of public shares?)</t>
  </si>
  <si>
    <t>The Brick (see Leon's)</t>
  </si>
  <si>
    <t>Wells Fargo</t>
  </si>
  <si>
    <t>J&amp;J</t>
  </si>
  <si>
    <t>US Bankcorp</t>
  </si>
  <si>
    <t>Debentures pay 6% &amp; convertible at $10/share.</t>
  </si>
  <si>
    <t>Sold to Mattel; Fairfax made $17 milllion (including loss on original debs)</t>
  </si>
  <si>
    <t>USG</t>
  </si>
  <si>
    <t>Fiat</t>
  </si>
  <si>
    <t>Jumbo</t>
  </si>
  <si>
    <t>Sold to Leon's; realized gain = $112 million (early 2013)</t>
  </si>
  <si>
    <t>Fairfax owns 41%. Position had unrealized gain $109 million at YE 2013</t>
  </si>
  <si>
    <t>Eurobank Properties (Grivalia) #3</t>
  </si>
  <si>
    <t>Equity</t>
  </si>
  <si>
    <t xml:space="preserve">30 million shares @ $10/share; Fairfax owns 28%; 2014 Modi election in India </t>
  </si>
  <si>
    <t>Fairfax owns 100%; Home improvement/big box Greece; Grivalia owns some of the sites</t>
  </si>
  <si>
    <t>Fairfax owns 100%. Paid 10 x free cash flow.</t>
  </si>
  <si>
    <t>Increased Lloyds profile of Fairfax. Issued 1.15 million Fairfax shares.</t>
  </si>
  <si>
    <t>Bank of Ireland #1</t>
  </si>
  <si>
    <t>Bank of Ireland #2</t>
  </si>
  <si>
    <t>Eastern European. Paid €9.75 million.</t>
  </si>
  <si>
    <t>BIC Insurance Corp (Vietnam)</t>
  </si>
  <si>
    <t>Fairfax owns 35%; insurance sub of BIDV Bank, 2nd largest bank in Vietnam</t>
  </si>
  <si>
    <t>QBE insurance (Ukraine)</t>
  </si>
  <si>
    <t>Colonade (Luxembourg)</t>
  </si>
  <si>
    <t>Created by Fairfax to write all Eastern European insurance business</t>
  </si>
  <si>
    <t>Fairfax owns 40%; bought from Eurobank. 3rd largest insurer in Greece</t>
  </si>
  <si>
    <t>Bought 9%; Fairfax owns 34.6%. Partnership began 16 years ago. Total investment = $347 million.</t>
  </si>
  <si>
    <t>Africa Re</t>
  </si>
  <si>
    <t>€70 million pounds; 10 year convertible bond. Leader in farm insurance</t>
  </si>
  <si>
    <t>Fairfax owns 49%; Invesmtnet manager</t>
  </si>
  <si>
    <t>Quantum Advisors (India)</t>
  </si>
  <si>
    <t>Celebrity chef; owns 4 restaurants</t>
  </si>
  <si>
    <t>Private equity buy</t>
  </si>
  <si>
    <t>Sold its 73.6% interest; pre-tx gain = $236.4. Realized 31% annual gain.</t>
  </si>
  <si>
    <t>Bank of Ireland #3</t>
  </si>
  <si>
    <t>Bank of Ireland #4</t>
  </si>
  <si>
    <t>€313 = 935 shares x €0.36. Fairfax sold 1/2 of 5.8% stake for more than triple what it paid for it in 2011.</t>
  </si>
  <si>
    <t>Union Unsurance (Sri Lanka)</t>
  </si>
  <si>
    <t>€308 million (933 x €0.33). Fairfax owns 5.8% (down from 8.7%).</t>
  </si>
  <si>
    <t>Q2 &amp; Q3 13F: 1.36 million shares @ $180 (estimated cost)</t>
  </si>
  <si>
    <t>Fairfax spends €400 million; in 2015 became largest unrealized loss in Fairfax history</t>
  </si>
  <si>
    <t>Fairfax invests additional €350 million. Own inc from 12.5% to 17%</t>
  </si>
  <si>
    <t>Update on position</t>
  </si>
  <si>
    <t>Fairfax owns 8.7%. (2.8 billion shares at €0.10/share). Consortium with Wilbur Ross.</t>
  </si>
  <si>
    <t>$48.5 million in convertible debentures converted to common shares</t>
  </si>
  <si>
    <t>Fairfax's ownership in new company?</t>
  </si>
  <si>
    <t>ICICI Lombard #2</t>
  </si>
  <si>
    <t>ICICI Lombard #3</t>
  </si>
  <si>
    <t>Sell down position #1</t>
  </si>
  <si>
    <t>Sell down position #2</t>
  </si>
  <si>
    <t>ICICI Lombard #4</t>
  </si>
  <si>
    <t>2016AR: the presidential election on November 8, 2016 changed the world for us, so we reacted quickly by removing all our index hedges and some of our individual short positions and reducing the duration of our fixed income portfolios to approximately one year</t>
  </si>
  <si>
    <t>Second equity raise</t>
  </si>
  <si>
    <t>Fairfax owns 67.4%. Paid 1.3 x BV. The company writes $3.1 billion in business, and it has a major presence with the large brokers like Marsh, AON and Willis and with Fortune 1000 companies in the U.S., which is why it fits very nicely with our pre-existing businesses.</t>
  </si>
  <si>
    <t>Zurich South Africa (renamed Bryte)</t>
  </si>
  <si>
    <t>Built out Fairfax's Latin America and Central/Eastern Europe footprints</t>
  </si>
  <si>
    <t>Fairfax owns 49% of CARA (total Cara investment = $ 157 million 2016 AR)</t>
  </si>
  <si>
    <t>BV $314</t>
  </si>
  <si>
    <t>Hudson expansion</t>
  </si>
  <si>
    <t>Federated Insurance</t>
  </si>
  <si>
    <t>Lombard Insurance</t>
  </si>
  <si>
    <t>Commonwealth Insurance</t>
  </si>
  <si>
    <t>Northbridge Insurance</t>
  </si>
  <si>
    <t>Total investment $252 million</t>
  </si>
  <si>
    <t>Markel Insurance</t>
  </si>
  <si>
    <t>TIG Re</t>
  </si>
  <si>
    <t>CTR</t>
  </si>
  <si>
    <t>created core of Odyssey Re</t>
  </si>
  <si>
    <t>Northbridge was golden goose in early years that propelled expansion</t>
  </si>
  <si>
    <t>Crum &amp; Forster</t>
  </si>
  <si>
    <t>Seneca</t>
  </si>
  <si>
    <t>Fairmont (from TIG)</t>
  </si>
  <si>
    <t>Redwoods Group, Travel Insured, Brownyard Programs and Trinity Risk</t>
  </si>
  <si>
    <t>2016 AR: Crum has paid most dividends of all insurance co's</t>
  </si>
  <si>
    <r>
      <t xml:space="preserve">Skandia US (renamed </t>
    </r>
    <r>
      <rPr>
        <b/>
        <sz val="12"/>
        <color theme="1"/>
        <rFont val="Calibri"/>
        <family val="2"/>
        <scheme val="minor"/>
      </rPr>
      <t>Odyssey Re</t>
    </r>
    <r>
      <rPr>
        <sz val="12"/>
        <color theme="1"/>
        <rFont val="Calibri"/>
        <family val="2"/>
        <scheme val="minor"/>
      </rPr>
      <t>)</t>
    </r>
  </si>
  <si>
    <t xml:space="preserve"> </t>
  </si>
  <si>
    <t>How the legacy insurance companies were formed (from 2016 AR)</t>
  </si>
  <si>
    <t>A Few Transactions From Before 2010</t>
  </si>
  <si>
    <t>Fairfax owns 23.3 million shares = 39% euity &amp; 57% voting. Help fund St Huber acquisition</t>
  </si>
  <si>
    <t>Debt and warrants</t>
  </si>
  <si>
    <t>Private equity purchase</t>
  </si>
  <si>
    <t>Bankruptcy purchase</t>
  </si>
  <si>
    <t>With Sagard Capital. 50% voting; equity 42.5%. Bauer, Easton, Cascade. Renamed Peak Achievement Athletics</t>
  </si>
  <si>
    <t>IIFL Holdings (India)</t>
  </si>
  <si>
    <t>Fairfax owns 8.97% and has economic interest of an additional 5.24%.</t>
  </si>
  <si>
    <t>Fairfax contribution to help Thomas Cook purchase Sterling Resorts ($140 million in cash and shares)</t>
  </si>
  <si>
    <t>Quess raised $60 million selling 10% of company</t>
  </si>
  <si>
    <t>Cara  #2</t>
  </si>
  <si>
    <t>Cara #3</t>
  </si>
  <si>
    <t>Fairfax owns 78%; re-named Fairffirst Insurance; purchased from John Keells</t>
  </si>
  <si>
    <t>Share Issue</t>
  </si>
  <si>
    <t>Fairfax owns 60%. 48 locations.</t>
  </si>
  <si>
    <t>Cost C$65 milion in 2009 (10% convertible debentures)</t>
  </si>
  <si>
    <t>ICICI Lombard</t>
  </si>
  <si>
    <t>First Capital (Singapore)</t>
  </si>
  <si>
    <t>Minority partner</t>
  </si>
  <si>
    <t>Partner with ICICI Bank</t>
  </si>
  <si>
    <t>Bankruptcy buy</t>
  </si>
  <si>
    <t>Underwriting loss</t>
  </si>
  <si>
    <t>5.1 milllion to fund Allied World acquisition</t>
  </si>
  <si>
    <t>Closed July 6; received only 6 months of premiums. Hurricanes Irma, Maria and Harver</t>
  </si>
  <si>
    <t>Sold to Mitsui Sumitomo; after tax gain = $1,018.6. Compounded at 30% per year since 2002.</t>
  </si>
  <si>
    <t>1 million to fund ICICI Lombard add and Eurolife buy</t>
  </si>
  <si>
    <t>Merge with Cara</t>
  </si>
  <si>
    <t>Cara changes name to Recipe</t>
  </si>
  <si>
    <t>Keg / Cara</t>
  </si>
  <si>
    <t>Fairfax owns 33.6% from 30.2%. $114 million performance fee earned in shares.</t>
  </si>
  <si>
    <t>Grivalia (Eurobank Properties) #2</t>
  </si>
  <si>
    <t>Final Payment</t>
  </si>
  <si>
    <t>Final Payment as part of 2002 purchase. Riverstone was one of best acquisitions Fairfax ever made.</t>
  </si>
  <si>
    <t>TRG (Riverstone run-off)</t>
  </si>
  <si>
    <t>Debt &amp; warrant deal</t>
  </si>
  <si>
    <t>Debs pay 6% + warrants strike $8.25; potentially own = 16.2%</t>
  </si>
  <si>
    <t>Sold ICICI position to 9.9%. Can't own &gt; 10% of 2 insureres in India</t>
  </si>
  <si>
    <t>Debs pay 5.7% + warrants strike $8.81; potentially own = 61.7%</t>
  </si>
  <si>
    <t>Debs pay 5% + warrants strike $3.25; potentially own = 8.2%</t>
  </si>
  <si>
    <t>Debs pay 5% + warrants strike $15.00; potentially own = 13.4%</t>
  </si>
  <si>
    <t>Global small/mid cap fund</t>
  </si>
  <si>
    <t>Managed by Ben Watsa</t>
  </si>
  <si>
    <t>Paul Rivette discovery. Debs pay 5.4% + warrants strike $33.25; potentially own = 19.1%</t>
  </si>
  <si>
    <t>Paul Rivette was driver. Fairfax owns 64.2%; $252.2 cash + AFGRI (Fair value $72.8)</t>
  </si>
  <si>
    <t>CIB Bank (Egypt)</t>
  </si>
  <si>
    <t>Fairfax owns 7.3%. Great bank. Issue since initial purchase has been currency depreciation.</t>
  </si>
  <si>
    <t>Bank of Ireland #5</t>
  </si>
  <si>
    <t>Realized gain = $69</t>
  </si>
  <si>
    <t>Realized gain = $56</t>
  </si>
  <si>
    <t>Cost = $291 million. Realized gain = $94 million = 32%. Bought Q1 2009</t>
  </si>
  <si>
    <t>Cost = $388. Realized gain of $407 = 105% over life of holding</t>
  </si>
  <si>
    <t>Cost = $512. Realized gain of $213 = 42% over life of holding</t>
  </si>
  <si>
    <t>Cost = $258. Realized gain of $309 = 120% over life of holding</t>
  </si>
  <si>
    <t>sold to</t>
  </si>
  <si>
    <t>offset</t>
  </si>
  <si>
    <t>losses</t>
  </si>
  <si>
    <t>equity</t>
  </si>
  <si>
    <t>hedge</t>
  </si>
  <si>
    <t xml:space="preserve">Fairfax owns 52.6% an increase of 10.3%. </t>
  </si>
  <si>
    <t>Bought after Carillion UK declared bankruptcy; Renamed Dexterra (Canadian operations were good). Paid 5x free cash flow</t>
  </si>
  <si>
    <t>Fairfax 43.2%.  Total Fairfax investment to date = $348 million</t>
  </si>
  <si>
    <t>Fairfax owns 49% (was 18.9%). Total invested to date = $340 million. Total invested this round = $220 million.</t>
  </si>
  <si>
    <t>Fairfax owns 67.9% (from 49%). Total invested = $340+109 = $449 million</t>
  </si>
  <si>
    <t>Farmers Edge #2</t>
  </si>
  <si>
    <t>Fairfax owns 36%. Fairfax immediately exercised warrants. 38.46 million shares ex @ $6.50</t>
  </si>
  <si>
    <t>Atlas #4</t>
  </si>
  <si>
    <t xml:space="preserve">Feb </t>
  </si>
  <si>
    <t>Atlas #7</t>
  </si>
  <si>
    <t>Redeem Debt</t>
  </si>
  <si>
    <t>7% dividend first 5 years; with 1.5% increases annually thereafter</t>
  </si>
  <si>
    <t>5.5%. Total debt = $600 million</t>
  </si>
  <si>
    <t>Preferred share buy</t>
  </si>
  <si>
    <t>Carillion Canada (Dexterra) #1</t>
  </si>
  <si>
    <t>Abitibi (Resolute)</t>
  </si>
  <si>
    <t>Convertible bond</t>
  </si>
  <si>
    <t>New debt buy</t>
  </si>
  <si>
    <t>Farmers Edge #1</t>
  </si>
  <si>
    <t>Fairfax owns 46.1%. Fairfax buys Kleiner Perkins stake.</t>
  </si>
  <si>
    <t>Equity investment</t>
  </si>
  <si>
    <t>Based on implied valuation of 4x projected Dec 2019 EBITDA</t>
  </si>
  <si>
    <t>Arbor Memorial #2</t>
  </si>
  <si>
    <t>AGT Food &amp; Ingredients (#2)</t>
  </si>
  <si>
    <t>Debt and warrant deal</t>
  </si>
  <si>
    <t>Zenith National (US)</t>
  </si>
  <si>
    <t>General Fidelity - GFIC (US)</t>
  </si>
  <si>
    <t>Kennedy Wilson (US)</t>
  </si>
  <si>
    <t>First Mercury (US)</t>
  </si>
  <si>
    <t>International Forest Products (Can)</t>
  </si>
  <si>
    <t>Mega Brands #2</t>
  </si>
  <si>
    <t>Sporting Life (Can)</t>
  </si>
  <si>
    <t>Imvescor Restaurant Group (Can)</t>
  </si>
  <si>
    <t>ICICI Lombard Ins (India) #1</t>
  </si>
  <si>
    <t>Grivalia-Euobank Prop (Greece) #1</t>
  </si>
  <si>
    <t>Prime Restaurants (Can)</t>
  </si>
  <si>
    <t>Mega Brands (Can) #1</t>
  </si>
  <si>
    <t>SFK Pulp (Can)</t>
  </si>
  <si>
    <t>Fibrek (Can) was Abitibi</t>
  </si>
  <si>
    <t>Magna (Can)</t>
  </si>
  <si>
    <t>The Brick (Can)</t>
  </si>
  <si>
    <t>William Ashley (Can)</t>
  </si>
  <si>
    <t>Thai Re (Thailand)</t>
  </si>
  <si>
    <t>Thomas Cook (India)</t>
  </si>
  <si>
    <t>Mullen Group (Can)</t>
  </si>
  <si>
    <t>Brit Insurance (UK)</t>
  </si>
  <si>
    <t>Leons Furniture (Can)</t>
  </si>
  <si>
    <t>Arbor Memorial (Can) #1</t>
  </si>
  <si>
    <t>Alliance Insurance (Turkey?)</t>
  </si>
  <si>
    <t>Hartville Group (US) - pet insurance</t>
  </si>
  <si>
    <t>American Safety (US)</t>
  </si>
  <si>
    <t>Cara(Can)  #1</t>
  </si>
  <si>
    <t>Reitmans (Can)</t>
  </si>
  <si>
    <t>Mytilineos (Greece)</t>
  </si>
  <si>
    <t>Keg (Can)</t>
  </si>
  <si>
    <t>Torstar (Can)</t>
  </si>
  <si>
    <t>PT Batavia (Indonesia)</t>
  </si>
  <si>
    <t>Praktiker Hellas (Greece)</t>
  </si>
  <si>
    <t>Pet Health (Can)</t>
  </si>
  <si>
    <t>Eurobank (Greece) #1</t>
  </si>
  <si>
    <t>MCIS Insurance (Malaysia)</t>
  </si>
  <si>
    <t>Tembec (Can)</t>
  </si>
  <si>
    <t>The McEwan Group (Can)</t>
  </si>
  <si>
    <t>Eurolife (Greece) #1</t>
  </si>
  <si>
    <t>Asian Alliance (Sri Lanka)</t>
  </si>
  <si>
    <t>Golf Town (Can)</t>
  </si>
  <si>
    <t>Chorus Aviation (Can)</t>
  </si>
  <si>
    <t>Rouge Media (Can)</t>
  </si>
  <si>
    <t>Blue Ant Media (Can)</t>
  </si>
  <si>
    <t>Mosaic Capital Corp (Can)</t>
  </si>
  <si>
    <t>Altius (Can)</t>
  </si>
  <si>
    <t>Performance Sports (Can) - Peak</t>
  </si>
  <si>
    <t>Westaim (Can)</t>
  </si>
  <si>
    <t>AGT Food &amp; Ingred (Can) #1</t>
  </si>
  <si>
    <t>Toys "R" Us (Can)</t>
  </si>
  <si>
    <t>Universalna (Ukraine)</t>
  </si>
  <si>
    <t>Mastercraft (US)</t>
  </si>
  <si>
    <t>Joint venture with OMERS. Sold 40%. Fairfax owns 60%.</t>
  </si>
  <si>
    <t>Helios Fairfax (Africa)</t>
  </si>
  <si>
    <t>Digit #2</t>
  </si>
  <si>
    <t>Go Digit (India) #1</t>
  </si>
  <si>
    <t>$4.7 billion deal did not happen. Only announced deal Fairfax walked away from.</t>
  </si>
  <si>
    <t>At June 30 Fairfax owned 241,340 shares valued at $8.4 million (13F)</t>
  </si>
  <si>
    <t>RIM / Blackberry #2</t>
  </si>
  <si>
    <t>Blackberry #3</t>
  </si>
  <si>
    <t>Debenture purchase</t>
  </si>
  <si>
    <t>1.75%; convertible at $6 to shares (55 milion)</t>
  </si>
  <si>
    <t>Blackberry #4</t>
  </si>
  <si>
    <t>3.75%; convertible at $10 to shares (50 milion)</t>
  </si>
  <si>
    <t>Debenture redemption</t>
  </si>
  <si>
    <t>Fairfax owns 13.8% (was 9.9%); paid C$6.35/share for 2 million shares</t>
  </si>
  <si>
    <t>Banrruptcy buy</t>
  </si>
  <si>
    <t>Ensign Energe Services #1</t>
  </si>
  <si>
    <t xml:space="preserve">Fairfax owns 12.87%. Converted debs to 6.3 mill shares @ C$1.75/share. </t>
  </si>
  <si>
    <t>Jan</t>
  </si>
  <si>
    <t>$91 mill raised for 10% of Digit from outside inv; values co at $858 million</t>
  </si>
  <si>
    <t xml:space="preserve">Thomas Cook reduces stake from 81.52 to 75.38 </t>
  </si>
  <si>
    <t>Spin Off From Thomas Cook</t>
  </si>
  <si>
    <t>Fairfax directly owns 33% of Quess</t>
  </si>
  <si>
    <t>ICICI Lombard #5</t>
  </si>
  <si>
    <t>IKYA (India) / Quess #1</t>
  </si>
  <si>
    <t>Quess #2</t>
  </si>
  <si>
    <t>Quess #3</t>
  </si>
  <si>
    <t>Quess #4</t>
  </si>
  <si>
    <t>Quess #5</t>
  </si>
  <si>
    <t>Quess #6</t>
  </si>
  <si>
    <t>Paramount Health Services (India)</t>
  </si>
  <si>
    <t>Purchased by Fairfax Asia</t>
  </si>
  <si>
    <t>Run-off insurance sale</t>
  </si>
  <si>
    <t>Sell to Atlas</t>
  </si>
  <si>
    <t>Fairfax owns 13 million shares (+800,000)</t>
  </si>
  <si>
    <t>Stelco (Can) #1</t>
  </si>
  <si>
    <t>Stelco #2</t>
  </si>
  <si>
    <t>Mexico transaction</t>
  </si>
  <si>
    <t>Eurobank's impaired loan ratio falls to 14% from 29%. €3.2 billion sold to doValue Group.</t>
  </si>
  <si>
    <t xml:space="preserve">Paul Rivette </t>
  </si>
  <si>
    <t>Retires</t>
  </si>
  <si>
    <t>Was responsible for many investments incl Fairfax Africa</t>
  </si>
  <si>
    <t>Total 2010</t>
  </si>
  <si>
    <t>Total 2011</t>
  </si>
  <si>
    <t>Total 2012</t>
  </si>
  <si>
    <t>Total 2013</t>
  </si>
  <si>
    <t>Total 2014</t>
  </si>
  <si>
    <t>Total 2015</t>
  </si>
  <si>
    <t>Total 2016</t>
  </si>
  <si>
    <t>Total 2017</t>
  </si>
  <si>
    <t>Total 2018</t>
  </si>
  <si>
    <t>Total 2019</t>
  </si>
  <si>
    <t>Realized losses = $296 million; $179 in 2019 and $117 million prior years</t>
  </si>
  <si>
    <t>Emerged from bankruptcy. Bonds exchanged for shares.</t>
  </si>
  <si>
    <t>Ambridge Partners</t>
  </si>
  <si>
    <t>Brit acquired 50% equity it did not own for 46.6 million.</t>
  </si>
  <si>
    <t>Buy out by Brit</t>
  </si>
  <si>
    <t>Realized gain = $111.8</t>
  </si>
  <si>
    <t>Fairfax remeasured carying value to  $1.1 bil; recog. gain = $889.9 mill</t>
  </si>
  <si>
    <t>Thomas Cook deconsolidated Quess</t>
  </si>
  <si>
    <t>To date, Fairfax has invested $154 million (did not inv in $91 mill raise)</t>
  </si>
  <si>
    <t>AXA acquisition</t>
  </si>
  <si>
    <t>Adds $900 million in gross premiums to GIG's $1.4 million = $2.3 million</t>
  </si>
  <si>
    <t>Total cost was $474.75 million; Fairfax did not add $</t>
  </si>
  <si>
    <t>Horizon North (Dexterra)</t>
  </si>
  <si>
    <t>New company run by Dexterra. Fairfax owns 49% of new company</t>
  </si>
  <si>
    <t>Launch</t>
  </si>
  <si>
    <t>Brit and Google Cloud collaborate to launch Ki (algo Lloyd's of London platform)</t>
  </si>
  <si>
    <t>Begins writing business</t>
  </si>
  <si>
    <t>$500 million from Blackstone and Fairfax (80/20 split?)</t>
  </si>
  <si>
    <t>Ki (Brit) #1</t>
  </si>
  <si>
    <t>Ki #2</t>
  </si>
  <si>
    <t>Ki #3</t>
  </si>
  <si>
    <t>Corporate Bonds</t>
  </si>
  <si>
    <t>Yield 4.1% and term of 4 years</t>
  </si>
  <si>
    <t>$52 million realized loss</t>
  </si>
  <si>
    <t>$182 million realized gain</t>
  </si>
  <si>
    <t>$212 million realized gain = 40% avg investment</t>
  </si>
  <si>
    <t>$62 million realized loss; Fairfax Africa put out of its misery</t>
  </si>
  <si>
    <t>Sell</t>
  </si>
  <si>
    <t>Sell down position?</t>
  </si>
  <si>
    <t>Oct</t>
  </si>
  <si>
    <t>IPO raised $144 million. Over the years Fairfax invested C$376 million.</t>
  </si>
  <si>
    <t>Initial investment</t>
  </si>
  <si>
    <t>Fairfax acquired controlling stake</t>
  </si>
  <si>
    <t>IPO raised $170 million. Fairfax has invested to date $110 million.</t>
  </si>
  <si>
    <t>35% interest with David Sokol</t>
  </si>
  <si>
    <t>Davos Brands #2</t>
  </si>
  <si>
    <t>Davos Brands (US) #1</t>
  </si>
  <si>
    <t>$59 + $36 million contingency payment</t>
  </si>
  <si>
    <t>Easton (part of Peak)</t>
  </si>
  <si>
    <t>Folded into Crum</t>
  </si>
  <si>
    <t>Update</t>
  </si>
  <si>
    <t>Fairfax owns 71% (up from 65.1%). Invested $74 mill total for current stake.</t>
  </si>
  <si>
    <t>BDT Capital</t>
  </si>
  <si>
    <t>Total 2020</t>
  </si>
  <si>
    <t>Total 2021</t>
  </si>
  <si>
    <t>Total 2022</t>
  </si>
  <si>
    <t>Rawlings (#1 baseball brand) for $65 million + 28% of Rawlings (in Peak?)</t>
  </si>
  <si>
    <t>Loss</t>
  </si>
  <si>
    <t>12.2 million shares @C$20.50/share. Fairfax owns 13.7%</t>
  </si>
  <si>
    <t>Average exchange rate CAN$ to US$ $0.7538</t>
  </si>
  <si>
    <t>Average exchange rate CAN$ to US$ $0.7717</t>
  </si>
  <si>
    <t>Average exchange rate CAN$ to US$ $0.7553</t>
  </si>
  <si>
    <t>Average exchange rate Euro to US$ $1.11</t>
  </si>
  <si>
    <t>Average exchange rate CAN$ to US$ $0.7832</t>
  </si>
  <si>
    <t>Average exchange rate CAN$ to US$ $0.906</t>
  </si>
  <si>
    <t>Average exchange rate CAN$ to US$ $0.971</t>
  </si>
  <si>
    <t>Write down</t>
  </si>
  <si>
    <t>The 10.76% stake in JKH amounting to 141.8 million shares was traded at Rs. 160 each. </t>
  </si>
  <si>
    <t>June</t>
  </si>
  <si>
    <t>Cairo transaction</t>
  </si>
  <si>
    <t>Eurobank's impaired loan ratio falls to 15.6%. €7.5 billion sold to doValue Group.</t>
  </si>
  <si>
    <t>Eurobank's impaired loan ratio falls to 7.3% from 15.6%.  €3.2 billion sold to doValue Group.</t>
  </si>
  <si>
    <t>Market value = US$484.9 = 1.4 mill shares of FFH @ US$344.45/C$443.93</t>
  </si>
  <si>
    <t>Original notional amount = US$732.5 = 1.964 mill shares of FFH @ US$372/C$476</t>
  </si>
  <si>
    <t>Q1</t>
  </si>
  <si>
    <t>Exchanged to 1.75 Lien Term Loans</t>
  </si>
  <si>
    <t>1.5 Lein Notes</t>
  </si>
  <si>
    <t>Fairfax owns 9.9% of EXCO's common shares</t>
  </si>
  <si>
    <t>EXCO Resources #2</t>
  </si>
  <si>
    <t>EXCO Resouces #1</t>
  </si>
  <si>
    <t>At 12.5%/year</t>
  </si>
  <si>
    <t>$412 million in value</t>
  </si>
  <si>
    <t>EXCO Resources #3</t>
  </si>
  <si>
    <t>Astarta Holdings (Ukraine)</t>
  </si>
  <si>
    <t>13 year avg</t>
  </si>
  <si>
    <t>3 year avg</t>
  </si>
  <si>
    <t>Dec 31</t>
  </si>
  <si>
    <t>change</t>
  </si>
  <si>
    <t>If warrants exercised Fairfax owns 37.8%</t>
  </si>
  <si>
    <t>C$230 million raised = $23 x 10 million</t>
  </si>
  <si>
    <t>Fairfax owns 40.7% Exchanged existing holdings for common shares. Cara is debt free.</t>
  </si>
  <si>
    <t>Q2</t>
  </si>
  <si>
    <t>Q3</t>
  </si>
  <si>
    <t>FY</t>
  </si>
  <si>
    <t>S&amp;P Global Ratings</t>
  </si>
  <si>
    <t>Upgrade Fairfax Subsidiaries</t>
  </si>
  <si>
    <t>core ins and reins subsidiaries to “A” from “A-” with a stable outlook.</t>
  </si>
  <si>
    <t>raised its long-term issuer credit rating on the holding company to “BBB” from “BBB-“</t>
  </si>
  <si>
    <t>Upgrade Fairfax holding company</t>
  </si>
  <si>
    <t>Brit (UK) #1</t>
  </si>
  <si>
    <t>Brit #2</t>
  </si>
  <si>
    <t>Brit paid $57.8; ownership increased to 73%</t>
  </si>
  <si>
    <t>2015</t>
  </si>
  <si>
    <t>Merges US MGA (Brit Global Specialty USA with Ambridge)</t>
  </si>
  <si>
    <t>Brit purchases 50%; Ambridge (New York) is leading managing general agency; $150 million in premiums</t>
  </si>
  <si>
    <t>Brit owns 100% of Ambridge: manage + $450 mill in premium in US, and + $110 mill in premium written by Ambridge’s international affiliates.</t>
  </si>
  <si>
    <t>Brit (#3)</t>
  </si>
  <si>
    <t>Brit (#4)</t>
  </si>
  <si>
    <t>Fairfax owns 100%; 30% bought in 3 transactions: $57.8+251.8+206.4=$516.0M</t>
  </si>
  <si>
    <t>Sale to Enthusiast Gaming</t>
  </si>
  <si>
    <t>Sold by Blue Ant Media for 18.25 million shares of Enthusiast Gaming +$11 million cash + note = $5.75 million</t>
  </si>
  <si>
    <t>Omnia Media (owned by Blue Ant)</t>
  </si>
  <si>
    <t>Fairfax owns 10.76% of Ensign</t>
  </si>
  <si>
    <t>Change to multiple voting share</t>
  </si>
  <si>
    <t>Vote delayed twice; barely passed (required support of 2/3) by vote of 70% to 30%</t>
  </si>
  <si>
    <t>Real estate debt platform</t>
  </si>
  <si>
    <t>With Fairfax. $2 billion platform; KW will coinvest 20%. First mortgages West US, Ireland, UK</t>
  </si>
  <si>
    <t>Prem spends $150 milion = 482,600 shares @ US$311/share</t>
  </si>
  <si>
    <t>Prem's big stock purchase</t>
  </si>
  <si>
    <t>US election / fundamental change / drmamtic improvement in US economy</t>
  </si>
  <si>
    <t>"reduces the need for the capital preservation protection of equity hedging"</t>
  </si>
  <si>
    <t>After election sells down equity hedges</t>
  </si>
  <si>
    <t>Before election sold 90% of treasury bonds (moved to cash)</t>
  </si>
  <si>
    <t>Oct/Nov</t>
  </si>
  <si>
    <t>New equity position</t>
  </si>
  <si>
    <t>C$18 million invested in convertible debentures</t>
  </si>
  <si>
    <t>A</t>
  </si>
  <si>
    <t>B</t>
  </si>
  <si>
    <t>2023E</t>
  </si>
  <si>
    <t>Interest</t>
  </si>
  <si>
    <t>Dividend</t>
  </si>
  <si>
    <t>per</t>
  </si>
  <si>
    <t>Hold Co</t>
  </si>
  <si>
    <t>Port Inv</t>
  </si>
  <si>
    <t>Seller debentures</t>
  </si>
  <si>
    <t>$1,278 million pre-tax gain; $992 million gain after tax.</t>
  </si>
  <si>
    <t>Fixed</t>
  </si>
  <si>
    <t>Income</t>
  </si>
  <si>
    <t>Profit</t>
  </si>
  <si>
    <t>Per</t>
  </si>
  <si>
    <t>With take private Fairfax stake increased from 27 million shares to 49.4 million</t>
  </si>
  <si>
    <t>A.) Equities - Mark to Market</t>
  </si>
  <si>
    <t>Orla Mining</t>
  </si>
  <si>
    <t>MTM - Smaller Holdings</t>
  </si>
  <si>
    <t>Q2&amp;Q3 13F; 2.569 million shares to 3.1 million</t>
  </si>
  <si>
    <t>Q2&amp;Q3 13F; 886.5 to 921 thousand shares</t>
  </si>
  <si>
    <t>MTM - Top 10 Holdings</t>
  </si>
  <si>
    <t>Remaining Smaller Holdings</t>
  </si>
  <si>
    <t>Total Smaller Holdings</t>
  </si>
  <si>
    <t>Total Mark To Market (Top 10 + Smaller Hold)</t>
  </si>
  <si>
    <t>16 million at C$2.09; owns 27.9% of Foran (27.8+43.8 = 71.6 million shares)</t>
  </si>
  <si>
    <t>Micron Technologies</t>
  </si>
  <si>
    <t>Increased position from 693,000 to 3.462 million</t>
  </si>
  <si>
    <t>Interest &amp; dividends</t>
  </si>
  <si>
    <t>Share of profit of associates</t>
  </si>
  <si>
    <t>Debentures &amp; warrants</t>
  </si>
  <si>
    <t>3% debs &amp; warrants to buy 3 mill HFP shares ex at $4.90 (5 yr timeframe)</t>
  </si>
  <si>
    <t>March 2021: 3% debs &amp; warrants to buy 3 mill HFP shares ex at $4.90 (5 yr timeframe)</t>
  </si>
  <si>
    <t>Insurance and Reinsurance</t>
  </si>
  <si>
    <t>Gulf Insurance</t>
  </si>
  <si>
    <t>India</t>
  </si>
  <si>
    <t>IIFL Securities</t>
  </si>
  <si>
    <t>Bangalore Airport</t>
  </si>
  <si>
    <t>Total India</t>
  </si>
  <si>
    <t>Real Estate</t>
  </si>
  <si>
    <t>KWF LP's</t>
  </si>
  <si>
    <t>Total Real Estate</t>
  </si>
  <si>
    <t>Resolute Forest Prod</t>
  </si>
  <si>
    <t>Atlas (was Seaspan)</t>
  </si>
  <si>
    <t>Astarta</t>
  </si>
  <si>
    <t>Total Other</t>
  </si>
  <si>
    <t>Total Non-insurance</t>
  </si>
  <si>
    <t>Riverstone Barbados</t>
  </si>
  <si>
    <t xml:space="preserve">During 2020 the company recorded non-cash impairment charges on its investments in Quess ($98.3), Resolute ($56.5), Atlas Mara ($35.0) and Astarta ($26.3). </t>
  </si>
  <si>
    <t>APR Energy</t>
  </si>
  <si>
    <t>AFGRI</t>
  </si>
  <si>
    <t>Other Africa</t>
  </si>
  <si>
    <t xml:space="preserve">(3)  Prior to the non-cash spin-off of its Quess shares as a return of capital, Thomas Cook India recorded the Quess shares to be transferred to its minority shareholders at fair value and recognized a non-cash impairment loss of $190.6 that was fully attributed to non-controlling interests in 2019. </t>
  </si>
  <si>
    <t xml:space="preserve">(5)  During 2019 the company recorded share of profit of Seaspan of $83.8, principally reflecting Seaspan’s gain of $227.0 related to the modification of charter arrangements with one of its largest customers. </t>
  </si>
  <si>
    <r>
      <t>(4)  During 2019 the company recorded share of profit of a KWF LP of $57.0 (</t>
    </r>
    <r>
      <rPr>
        <sz val="13"/>
        <color theme="1"/>
        <rFont val="Calibri"/>
        <family val="2"/>
      </rPr>
      <t>B</t>
    </r>
    <r>
      <rPr>
        <i/>
        <sz val="13"/>
        <color theme="1"/>
        <rFont val="Calibri"/>
        <family val="2"/>
      </rPr>
      <t xml:space="preserve">53.6) related to the sale of investment property in Dublin, Ireland. The KWF LP was subsequently liquidated. </t>
    </r>
  </si>
  <si>
    <t xml:space="preserve">(2) During 2019 the company recorded share of profit of IIFL Holdings of $172.9, reflecting its share of a gain at IIFL Holdings from the spin-offs of IIFL Wealth and IIFL Securities. </t>
  </si>
  <si>
    <t>Grand Total</t>
  </si>
  <si>
    <t>Split by Accounting Treatment</t>
  </si>
  <si>
    <t>A.) Mark to market</t>
  </si>
  <si>
    <t>B.) Associates</t>
  </si>
  <si>
    <t>C.) Consolidated</t>
  </si>
  <si>
    <t xml:space="preserve">2021: Share of profit of associates of $402 million includes our share of profits of Eurobank ($162 million), Resolute ($76 million), </t>
  </si>
  <si>
    <t xml:space="preserve">Atlas ($70 million) and Gulf Insurance ($56 million), partially offset by our share of losses of Atlas Mara ($57 million) and Exco ($41 million). </t>
  </si>
  <si>
    <t>Underwriting profit - ins &amp; reins.</t>
  </si>
  <si>
    <t>Net earnings</t>
  </si>
  <si>
    <t>Loss on repurchase of LT debt</t>
  </si>
  <si>
    <t>Gain on sale/deconsol of ins sub</t>
  </si>
  <si>
    <t>Shares Outstanding Dec 31</t>
  </si>
  <si>
    <t>Corp overhead and other</t>
  </si>
  <si>
    <t>Est</t>
  </si>
  <si>
    <t>FFH own incr. 70.9% to 82.9%; recorded loss of $228 mill in retained earnings</t>
  </si>
  <si>
    <t>1 Month</t>
  </si>
  <si>
    <t>1 Year</t>
  </si>
  <si>
    <t>3 Year</t>
  </si>
  <si>
    <t>5 Year</t>
  </si>
  <si>
    <t>10 Year</t>
  </si>
  <si>
    <t>Fairfax now owns 4.68%; 2.7 mill shares @ €18.5 = €50 million.</t>
  </si>
  <si>
    <t>9 yr ch</t>
  </si>
  <si>
    <t>9 years</t>
  </si>
  <si>
    <t>2014-2022</t>
  </si>
  <si>
    <t>Compounding</t>
  </si>
  <si>
    <t>C</t>
  </si>
  <si>
    <t>A+B+C</t>
  </si>
  <si>
    <t>US Treasury Rates</t>
  </si>
  <si>
    <t>Consolidated in 2021</t>
  </si>
  <si>
    <t>Added in 2020</t>
  </si>
  <si>
    <t>Added in 2018</t>
  </si>
  <si>
    <t>Sold in 1H 2023</t>
  </si>
  <si>
    <t>Added in 2021</t>
  </si>
  <si>
    <t>Sold in 2020</t>
  </si>
  <si>
    <t>Sold in 2021</t>
  </si>
  <si>
    <t>Grew 40% in 2021</t>
  </si>
  <si>
    <t>Split into 3 companies</t>
  </si>
  <si>
    <t>Finance, Wealth &amp; Securities; also 5paisa</t>
  </si>
  <si>
    <t>Stocks (Exxon, Can Banks, Shell, GOOG, Fed Ex)</t>
  </si>
  <si>
    <t>Chorus Aviation</t>
  </si>
  <si>
    <t>Warrants Expiration</t>
  </si>
  <si>
    <t>Warrants (C$8.25 exercise price) expired upon redemption.</t>
  </si>
  <si>
    <t>Debentures (C$115 million) were redeemed at par; expected Dec 30 close.</t>
  </si>
  <si>
    <t>Preferred Shares</t>
  </si>
  <si>
    <t>ZoomerMedia</t>
  </si>
  <si>
    <t>Book</t>
  </si>
  <si>
    <t>Exercised Warrants</t>
  </si>
  <si>
    <t>5 million @ $13</t>
  </si>
  <si>
    <t>after exercise of 6 million warrants Jan 13, 2023</t>
  </si>
  <si>
    <t>Average</t>
  </si>
  <si>
    <t>Year</t>
  </si>
  <si>
    <t>per share</t>
  </si>
  <si>
    <t>Total 2023</t>
  </si>
  <si>
    <t>Added in late 2022</t>
  </si>
  <si>
    <t>Sold?</t>
  </si>
  <si>
    <t>FY est</t>
  </si>
  <si>
    <t>95CR</t>
  </si>
  <si>
    <t>from AR - 5. Cash and Investments (p62?)</t>
  </si>
  <si>
    <t>Fair</t>
  </si>
  <si>
    <t>Share of</t>
  </si>
  <si>
    <t>Premiums</t>
  </si>
  <si>
    <t>billions</t>
  </si>
  <si>
    <t>Amount from 2022 AR</t>
  </si>
  <si>
    <t>Amount from 2022 AR.</t>
  </si>
  <si>
    <t>Page 13 of 2022AR less BDT &amp; ShawKrei</t>
  </si>
  <si>
    <t>Antenna Plus (Greece)</t>
  </si>
  <si>
    <t>Initial investment for 15% stake</t>
  </si>
  <si>
    <t>Amount unknown. Streaming service. Private holding (Anennna Group)</t>
  </si>
  <si>
    <t>Performance target</t>
  </si>
  <si>
    <t>Receivable based on 2023 perofmance targets of Ambridge.</t>
  </si>
  <si>
    <t>Atlas #8</t>
  </si>
  <si>
    <t>Ambridge Partners #1</t>
  </si>
  <si>
    <t>Ambridge Partners #2</t>
  </si>
  <si>
    <t>Ambridge Partners / Brit #3</t>
  </si>
  <si>
    <t>Final position sold. 11 year tragedy / catastrophe ended.</t>
  </si>
  <si>
    <t>Antenna Media</t>
  </si>
  <si>
    <t>Greek holding. Purchased March 2023. Privately help (Antenna Group).</t>
  </si>
  <si>
    <t>Other Consolidated</t>
  </si>
  <si>
    <t>Other Associates</t>
  </si>
  <si>
    <t>Duke Royalty Ltd (UK)</t>
  </si>
  <si>
    <t>New GBP100 million credit facility agreement - SONIA +5% (replace existing GBP55 million - SONIA +7.3%)</t>
  </si>
  <si>
    <t>Includes 41.6 million warrants with 5 yr maturity strike of 45 pence</t>
  </si>
  <si>
    <t>GBP</t>
  </si>
  <si>
    <t>DUKE.LON</t>
  </si>
  <si>
    <t>warrants strike 45 pence</t>
  </si>
  <si>
    <t>Duke Royalty Ltd warrants</t>
  </si>
  <si>
    <t>price</t>
  </si>
  <si>
    <t>ROE</t>
  </si>
  <si>
    <t>Net</t>
  </si>
  <si>
    <t>Written</t>
  </si>
  <si>
    <t>Closing</t>
  </si>
  <si>
    <t>Shares</t>
  </si>
  <si>
    <t>Out-</t>
  </si>
  <si>
    <t>standing</t>
  </si>
  <si>
    <t>Common</t>
  </si>
  <si>
    <t>Share-</t>
  </si>
  <si>
    <t>holders'</t>
  </si>
  <si>
    <t>Dividends</t>
  </si>
  <si>
    <t>Minority interests</t>
  </si>
  <si>
    <t>Increase</t>
  </si>
  <si>
    <t>total $</t>
  </si>
  <si>
    <t>/share</t>
  </si>
  <si>
    <t>Investments</t>
  </si>
  <si>
    <t>Net Debt</t>
  </si>
  <si>
    <t>Underwriting</t>
  </si>
  <si>
    <t>Can$</t>
  </si>
  <si>
    <t>Fairfax: A 13 Year View of Key Metrics</t>
  </si>
  <si>
    <t>Invest-</t>
  </si>
  <si>
    <t>ment</t>
  </si>
  <si>
    <t>Return</t>
  </si>
  <si>
    <t>Total UW +</t>
  </si>
  <si>
    <t>Increased ownership from 71% to 88.5% in Q4. Funded via retained earnings</t>
  </si>
  <si>
    <t>Average exchange rate CAN$ to US$ $0.7462</t>
  </si>
  <si>
    <t>Average exchange rate CAN$ to US$ $0.7978</t>
  </si>
  <si>
    <t>Average exchange rate CAN$ to US$ $0.7684</t>
  </si>
  <si>
    <t>Fairfax booked US$52 mill loss. 28.9 million shares x C$0.63/share = C$18 mill.</t>
  </si>
  <si>
    <t>$</t>
  </si>
  <si>
    <t>1.15 million shares issued to help buy Brit</t>
  </si>
  <si>
    <t>2014-18</t>
  </si>
  <si>
    <t>2018-22</t>
  </si>
  <si>
    <t>Average Price to Repurchase Shares</t>
  </si>
  <si>
    <t>Average Price to Issue Shares</t>
  </si>
  <si>
    <t>2015-2017</t>
  </si>
  <si>
    <t>Falcon Insurance Co (Hong Kong)</t>
  </si>
  <si>
    <t>Falcon Insurance Co (Thailand)</t>
  </si>
  <si>
    <t xml:space="preserve"> Comments (US$)</t>
  </si>
  <si>
    <t xml:space="preserve"> Avg price = $509/share</t>
  </si>
  <si>
    <t xml:space="preserve"> Avg price = $490/share</t>
  </si>
  <si>
    <t xml:space="preserve"> Avg price = $298/share</t>
  </si>
  <si>
    <t xml:space="preserve"> Avg price = $464/share</t>
  </si>
  <si>
    <t xml:space="preserve"> Allied World: 5.075 mill sh @ $433 = $2.19 bill</t>
  </si>
  <si>
    <t xml:space="preserve"> Eurolife &amp; ICICI L: 1 mill sh @ $555 = $555 mill</t>
  </si>
  <si>
    <t xml:space="preserve"> Brit: 1.15 mill sh @ $509 = $585 million</t>
  </si>
  <si>
    <t xml:space="preserve"> 1 mill sh @ = $418 = $418 mill</t>
  </si>
  <si>
    <t xml:space="preserve"> 563,000 sh @ $355 = $200 million </t>
  </si>
  <si>
    <t xml:space="preserve"> Zenith: 2.88 mill sh @ $347 = $1 billion</t>
  </si>
  <si>
    <t xml:space="preserve"> Share reduction from 2017 to 2022</t>
  </si>
  <si>
    <t xml:space="preserve"> 5 year average decrease</t>
  </si>
  <si>
    <t>Shareholders Equity</t>
  </si>
  <si>
    <t>billion</t>
  </si>
  <si>
    <t>Kennedy Wilson Warrants</t>
  </si>
  <si>
    <t>2022: 7 year warrants - 13 million warrants with strike price of $23</t>
  </si>
  <si>
    <t>IFRS-17</t>
  </si>
  <si>
    <t>11.)</t>
  </si>
  <si>
    <t>12.)</t>
  </si>
  <si>
    <t>13.)</t>
  </si>
  <si>
    <t>Fairfax - Operating Income</t>
  </si>
  <si>
    <t>2016-2021</t>
  </si>
  <si>
    <t>2019-2021</t>
  </si>
  <si>
    <t>6 year avg</t>
  </si>
  <si>
    <t>2 year increase</t>
  </si>
  <si>
    <t>Q1 added 2.1 millon shares; own 3 million</t>
  </si>
  <si>
    <t>Micron</t>
  </si>
  <si>
    <t>Q1 added 377 thousand shares; own 3.8 million</t>
  </si>
  <si>
    <t>Q1 added 4.6 million shares; own 15.4 million</t>
  </si>
  <si>
    <t>Q1 added 301 thousand; own 3.4 million</t>
  </si>
  <si>
    <t>Buy out Kipco</t>
  </si>
  <si>
    <t>Buy Kipco stake = 46%; Fairfax will own 90% at close later this year.</t>
  </si>
  <si>
    <t>$200 mill at close + 4 annual payments = $165 mill (start one year after close)</t>
  </si>
  <si>
    <t xml:space="preserve"> Avg price = $638/share (156,685 / $100 million)</t>
  </si>
  <si>
    <t>Sold in 2020 to Scott Carmilani (former CEO of Allied World)</t>
  </si>
  <si>
    <t>growth</t>
  </si>
  <si>
    <t>PacWest real estate loans</t>
  </si>
  <si>
    <t>avg term to maturity = 1.7 years (some extensions); LTV = 51%; 70% housing</t>
  </si>
  <si>
    <t>Earnings Per Share</t>
  </si>
  <si>
    <t>Warrants = 38.46 million shares ex @ $6.50; potentially own 22.4%</t>
  </si>
  <si>
    <t>Grant of new warrants</t>
  </si>
  <si>
    <t>Exercise of W received Feb 14, 2018: 38.46 mill shares at cost of $6.50</t>
  </si>
  <si>
    <t>Issued new warrants = 25 mill shares @ $8.05/share as incentive to exercise early</t>
  </si>
  <si>
    <t>Debt + warrants</t>
  </si>
  <si>
    <t>Exercise of warrants (received in #1)</t>
  </si>
  <si>
    <t>Tranche 1</t>
  </si>
  <si>
    <t>Tranche 2</t>
  </si>
  <si>
    <t>Fairfax got 22.9 million Atlas shares (@ $11.10) = $254 million</t>
  </si>
  <si>
    <t xml:space="preserve">Debt pays 5.5% </t>
  </si>
  <si>
    <t>Debt pays 5.5% + warrants = 38.46 million shares ex at $6.50</t>
  </si>
  <si>
    <t>April</t>
  </si>
  <si>
    <t>Grant of warrants</t>
  </si>
  <si>
    <t>Fairfax granted 5 million warrants ex at $13; final part of APR deal?</t>
  </si>
  <si>
    <t>Atlas #9</t>
  </si>
  <si>
    <t>1 mill @ $13.71; FFh owns 130.8 mill shares (45.5%) of Atlas at Jan 13, 23</t>
  </si>
  <si>
    <t>5.5%; unsecured</t>
  </si>
  <si>
    <t>5.5%; secured</t>
  </si>
  <si>
    <t>Preferred Stock</t>
  </si>
  <si>
    <t>6% dividend</t>
  </si>
  <si>
    <t>12.3 million common shares ex at $16.21; 7 year</t>
  </si>
  <si>
    <t>future funding +$1.7 billion? Avg ann return on capital deployed = 10%.</t>
  </si>
  <si>
    <t>Increase in position</t>
  </si>
  <si>
    <t>owns 5.25% of voting shares (up from 4.11%) = 6.49 million shares?</t>
  </si>
  <si>
    <t>Hostelworld Group (UK) - HSW.L</t>
  </si>
  <si>
    <t>2023: 7 year warrants - 12.3 million warrants with strike price of $16.21</t>
  </si>
  <si>
    <t>Expenses</t>
  </si>
  <si>
    <t>2024E</t>
  </si>
  <si>
    <t>2025E</t>
  </si>
  <si>
    <t>Q1 '23</t>
  </si>
  <si>
    <t>Annual dividend</t>
  </si>
  <si>
    <t>earned</t>
  </si>
  <si>
    <t>under-</t>
  </si>
  <si>
    <t>writing</t>
  </si>
  <si>
    <t>Annual Dividend</t>
  </si>
  <si>
    <t>Profit of</t>
  </si>
  <si>
    <t>Associates</t>
  </si>
  <si>
    <t>Interest &amp;</t>
  </si>
  <si>
    <t>Growth</t>
  </si>
  <si>
    <t>Under-</t>
  </si>
  <si>
    <t>Fairfax Financial - Summary of Equity Holdings (Page 1 of 2)</t>
  </si>
  <si>
    <t>Fairfax Financial - Summary of Equity Holdings (Page 2 of 2)</t>
  </si>
  <si>
    <t>/FFH share</t>
  </si>
  <si>
    <t>FV vs CV</t>
  </si>
  <si>
    <t>FFH shares</t>
  </si>
  <si>
    <t>Holding</t>
  </si>
  <si>
    <t>Rank</t>
  </si>
  <si>
    <t>Exchangeable Bond</t>
  </si>
  <si>
    <t>Fairfax owned 5.9%; of total, Mytil said FFH buys 4.97 mill sh at €5.13 = €25.5.</t>
  </si>
  <si>
    <t>Fairfax Financial</t>
  </si>
  <si>
    <t>YOY</t>
  </si>
  <si>
    <t>1H</t>
  </si>
  <si>
    <t>Fairfax: Fixed Income Portfolio - Interest &amp; Dividend Income</t>
  </si>
  <si>
    <t>Fairfax: Net Premiums and Underwriting Profit</t>
  </si>
  <si>
    <t>Fairfax: Interest Income by Quarter</t>
  </si>
  <si>
    <t>Fairfax: Share of Profit of Associates</t>
  </si>
  <si>
    <t>Sub Total</t>
  </si>
  <si>
    <t>All other</t>
  </si>
  <si>
    <t>Q2 '22</t>
  </si>
  <si>
    <t>Q2 '23</t>
  </si>
  <si>
    <t>Year End Book Value Per Share</t>
  </si>
  <si>
    <t xml:space="preserve">Prem sold 678,021 shares to FFH at $15.50/share </t>
  </si>
  <si>
    <t>Increased ownership from 82.9 to 83.4%</t>
  </si>
  <si>
    <t>Extended option to take out minority shareholders from Sept 24 to Sept 26</t>
  </si>
  <si>
    <t>Global Insurers and Reinsurers</t>
  </si>
  <si>
    <t>Dividend payment</t>
  </si>
  <si>
    <t>1H-2023 payment to non-controlling interests. Last year was $177.7</t>
  </si>
  <si>
    <t>Dividend paid by GIG to Kipco in Q2-2023.</t>
  </si>
  <si>
    <t>Fair value consideration = $740 ($200-$23+$563 fair value of payment deed)</t>
  </si>
  <si>
    <t>Pre-tax gain = $290</t>
  </si>
  <si>
    <t>Sold to Amynta Group; $259.1 million pre-tax gain; $265.8 cash + $113.2 mill promissary note.</t>
  </si>
  <si>
    <t>Final deal details (differn't than ann)</t>
  </si>
  <si>
    <t>On close $665.6 ($44.2 CVR)</t>
  </si>
  <si>
    <t>Run-off</t>
  </si>
  <si>
    <t>Per Share</t>
  </si>
  <si>
    <t>Avg Cost</t>
  </si>
  <si>
    <t>Effective</t>
  </si>
  <si>
    <t>Outstanding</t>
  </si>
  <si>
    <t>Reduction</t>
  </si>
  <si>
    <t>Total Cost</t>
  </si>
  <si>
    <t>Totals</t>
  </si>
  <si>
    <t>Dec 31, 2022</t>
  </si>
  <si>
    <t>Total Return Swaps</t>
  </si>
  <si>
    <t>Total Shares 'Purchased'</t>
  </si>
  <si>
    <t>Total Return Swap Position</t>
  </si>
  <si>
    <t>For Fun, Let's Add In The</t>
  </si>
  <si>
    <t>FFH stake increased from 46 to 84%; Phelan family 16%. Paid C$20.73/share (C$466 million)</t>
  </si>
  <si>
    <t>Reduce Position</t>
  </si>
  <si>
    <t xml:space="preserve">Position reduced to 98.9 million shares from 173.9 million. </t>
  </si>
  <si>
    <t>100% of position sold in Q2</t>
  </si>
  <si>
    <t>Position increased to 19.9 million shares from 15.4 million.</t>
  </si>
  <si>
    <t>Position increased to 6 million shares from 3 million.</t>
  </si>
  <si>
    <t>Exit Position</t>
  </si>
  <si>
    <t>100% of position sold in Q3</t>
  </si>
  <si>
    <t>New Position</t>
  </si>
  <si>
    <t>Vanguard Index - S&amp;P500 (VOO)</t>
  </si>
  <si>
    <t>S&amp;P500</t>
  </si>
  <si>
    <t>VOO</t>
  </si>
  <si>
    <t>Conversion preferred shares</t>
  </si>
  <si>
    <t>Ownership reduced from 9.28% to 3.38%. Shares sold for avg 65.55 rupee. Total value RS 117.94 crore. Fairfax still directly owns 10.3 million shares. Fairfax India also owns significant stake.</t>
  </si>
  <si>
    <t>Sold $5.2bn in corp bonds acquired in March/April 2020 at yield of 1%; gain = $253mn</t>
  </si>
  <si>
    <t>208 million debentures (convert at Rs130); 3% interest rate; would bump Fairfax ownership to 24.5% (from 13%)</t>
  </si>
  <si>
    <t>Meadow Foods</t>
  </si>
  <si>
    <t>Fair Value</t>
  </si>
  <si>
    <t>Carrying Value</t>
  </si>
  <si>
    <t>Excess of FV over CV</t>
  </si>
  <si>
    <t>Change YOY</t>
  </si>
  <si>
    <t xml:space="preserve">Associates: YOY change in FV vs CV </t>
  </si>
  <si>
    <t>Insurance and reinsurance</t>
  </si>
  <si>
    <t>Non-insurance</t>
  </si>
  <si>
    <t>Africa</t>
  </si>
  <si>
    <t>Agriculture</t>
  </si>
  <si>
    <t>Real estate</t>
  </si>
  <si>
    <t>India less Quess</t>
  </si>
  <si>
    <t>Grand total</t>
  </si>
  <si>
    <t>FV</t>
  </si>
  <si>
    <t>CV</t>
  </si>
  <si>
    <t>Excluding Insurance, reinsurance and Fairfax India</t>
  </si>
  <si>
    <t>YOY Change</t>
  </si>
  <si>
    <t>Average Change 2017-2022</t>
  </si>
  <si>
    <t>Average Change 2017-2023</t>
  </si>
  <si>
    <t>Excess of FV over VC</t>
  </si>
  <si>
    <t>Float</t>
  </si>
  <si>
    <t>Ratio</t>
  </si>
  <si>
    <t>Benefit</t>
  </si>
  <si>
    <t xml:space="preserve">of </t>
  </si>
  <si>
    <t>(Cost)</t>
  </si>
  <si>
    <t>All</t>
  </si>
  <si>
    <t>Assets</t>
  </si>
  <si>
    <t>Liabilities</t>
  </si>
  <si>
    <t>Consolidated Balance Sheet</t>
  </si>
  <si>
    <t>US$bn</t>
  </si>
  <si>
    <t>A - L = E</t>
  </si>
  <si>
    <t>BV/Share</t>
  </si>
  <si>
    <t>Stock Price</t>
  </si>
  <si>
    <t>P/BV</t>
  </si>
  <si>
    <t>Comb</t>
  </si>
  <si>
    <t>Random P/C Insurance Company</t>
  </si>
  <si>
    <t>Common Equity</t>
  </si>
  <si>
    <t>Leverage</t>
  </si>
  <si>
    <t>NB</t>
  </si>
  <si>
    <t>Crum</t>
  </si>
  <si>
    <t>Brit</t>
  </si>
  <si>
    <t>Fairfax Share</t>
  </si>
  <si>
    <t>Odyssey</t>
  </si>
  <si>
    <t>Zenith</t>
  </si>
  <si>
    <t>Allied</t>
  </si>
  <si>
    <t>Fairfax's Share</t>
  </si>
  <si>
    <t>Fairfax Owns</t>
  </si>
  <si>
    <t>Less Runoff Float</t>
  </si>
  <si>
    <t>Less Minority Interests</t>
  </si>
  <si>
    <t>Insurance and Reinsurance Float</t>
  </si>
  <si>
    <t>December 31, 2022</t>
  </si>
  <si>
    <t>Fairfax: Adjustments To Total Float</t>
  </si>
  <si>
    <t>Berkshire Hathaway</t>
  </si>
  <si>
    <t>to CSE</t>
  </si>
  <si>
    <t>Markel Group</t>
  </si>
  <si>
    <t>Comparison of P/C Insurance Companies</t>
  </si>
  <si>
    <t>Total Float ($bn)</t>
  </si>
  <si>
    <t>CR Average 2018-2020</t>
  </si>
  <si>
    <t>Avg All Investment Yield 2018-2022</t>
  </si>
  <si>
    <t>Avg Fixed Income Yield 2018-2022</t>
  </si>
  <si>
    <t>Adjusted Float</t>
  </si>
  <si>
    <t>Adjusted Float ($bn)</t>
  </si>
  <si>
    <t>Minority Share</t>
  </si>
  <si>
    <t>Adj Float to Common Equity</t>
  </si>
  <si>
    <t>Ins + ReIns Float</t>
  </si>
  <si>
    <t>Berk Hathaway - 2015</t>
  </si>
  <si>
    <t>Berk Hathaway - 2005</t>
  </si>
  <si>
    <t>Berk Hathaway - 1995</t>
  </si>
  <si>
    <t>$bn</t>
  </si>
  <si>
    <t>2014-2022 CR Compound Growth Rate = 12.4%</t>
  </si>
  <si>
    <t>Year 1</t>
  </si>
  <si>
    <t>Year 2</t>
  </si>
  <si>
    <t>Assets ($bn)</t>
  </si>
  <si>
    <t>Return on float of:</t>
  </si>
  <si>
    <t>Float leverage of 1.5 times, means:</t>
  </si>
  <si>
    <t>Delivers Return on Equity (ROE)</t>
  </si>
  <si>
    <t>Return generated by float only</t>
  </si>
  <si>
    <t>Fairfax Float: Insurance and Reinsurance Adjusted for Minority Interests</t>
  </si>
  <si>
    <t>Common Shareholders' Equity</t>
  </si>
  <si>
    <t>Shareholders'</t>
  </si>
  <si>
    <t>And</t>
  </si>
  <si>
    <t>Only</t>
  </si>
  <si>
    <t>$mn</t>
  </si>
  <si>
    <t xml:space="preserve"> Organic Growth of 6% = $2.5 bn x 4% = $100 milion</t>
  </si>
  <si>
    <t xml:space="preserve"> Fed Cuts: Q3 and Q4 = 0.5% x $10 bn = $50 million</t>
  </si>
  <si>
    <t xml:space="preserve"> Runoff Sale (Riverstone UK)</t>
  </si>
  <si>
    <t>Comments: Drivers of change in portfolio</t>
  </si>
  <si>
    <t xml:space="preserve"> Hard market continues. Strong earnings.</t>
  </si>
  <si>
    <t xml:space="preserve"> Hard market continues. Bond bear market (headwind).</t>
  </si>
  <si>
    <t>Total I&amp;D</t>
  </si>
  <si>
    <t>est</t>
  </si>
  <si>
    <t>Tot I&amp;D</t>
  </si>
  <si>
    <t>On fixed income portfolio</t>
  </si>
  <si>
    <t>Total int. income</t>
  </si>
  <si>
    <t>Divid.</t>
  </si>
  <si>
    <t>Invest.</t>
  </si>
  <si>
    <t>Expen.</t>
  </si>
  <si>
    <t>Interest and dividend - from 2016-2021 averaged a total of $698 million per year.</t>
  </si>
  <si>
    <t>Fixed Income: Total Size of Portfolio</t>
  </si>
  <si>
    <t xml:space="preserve"> GIG: $2.4 bn at 4% = $100 million</t>
  </si>
  <si>
    <t>Fairfax: Interest Income Estimated 'Swings' items for 2023 and 2024</t>
  </si>
  <si>
    <t xml:space="preserve"> PacWest loans interest rate pickup</t>
  </si>
  <si>
    <t xml:space="preserve"> Interest rate pickup - total portfolio</t>
  </si>
  <si>
    <t>Average Yield 2016-2022</t>
  </si>
  <si>
    <t xml:space="preserve"> Mark to market</t>
  </si>
  <si>
    <t xml:space="preserve"> Associates</t>
  </si>
  <si>
    <t>Accounting Treatment</t>
  </si>
  <si>
    <t>Total Equity Portfolio</t>
  </si>
  <si>
    <t>Total $</t>
  </si>
  <si>
    <t>ROE (average equity)</t>
  </si>
  <si>
    <t>EPS</t>
  </si>
  <si>
    <t>Return On Equity (average)</t>
  </si>
  <si>
    <t>mn</t>
  </si>
  <si>
    <t>/ share</t>
  </si>
  <si>
    <t>Fairfax: Growth of Net Premiums</t>
  </si>
  <si>
    <t>Net Premiums Written</t>
  </si>
  <si>
    <t>CAGR</t>
  </si>
  <si>
    <t>2014-24</t>
  </si>
  <si>
    <t>Common stock effectively outstanding – At December 31</t>
  </si>
  <si>
    <t>M to M</t>
  </si>
  <si>
    <t>Market</t>
  </si>
  <si>
    <t>Weight</t>
  </si>
  <si>
    <t>Position increased to 31.1 million shares from 19.9 million.</t>
  </si>
  <si>
    <t>£550 million in sales; Fairfax has majority position. Year to March 2022, generated sales of £450 million and adj EBITDA of £26.9</t>
  </si>
  <si>
    <t>Blackberry #5</t>
  </si>
  <si>
    <t>1.75%; convertible at $6 to shares (25 milion)</t>
  </si>
  <si>
    <t>Debenture Extension to Feb 14, 2024</t>
  </si>
  <si>
    <t>/ Share</t>
  </si>
  <si>
    <t>Interest Income</t>
  </si>
  <si>
    <t xml:space="preserve"> Organic Growth = 0 (due to re-investment further out on the curve).</t>
  </si>
  <si>
    <t>Fairfax: Fixed Income</t>
  </si>
  <si>
    <t>Nov 14, 2023</t>
  </si>
  <si>
    <t>Interest Inc - 2016-2021 avg $647mn/yr or 2.4%</t>
  </si>
  <si>
    <t>$ US Market Value</t>
  </si>
  <si>
    <t>2 Year</t>
  </si>
  <si>
    <t>Take Private</t>
  </si>
  <si>
    <t>C$0.25/share (IPO was $17/share)</t>
  </si>
  <si>
    <t>Brian Young</t>
  </si>
  <si>
    <t>Ovostar Union PCL</t>
  </si>
  <si>
    <t>Added 10.01% for PLN 31.2 million for PLN 52 / share; Owns 27.51%.</t>
  </si>
  <si>
    <t>Ovostar Union PLC</t>
  </si>
  <si>
    <t>AST.WA</t>
  </si>
  <si>
    <t>OVO.WA</t>
  </si>
  <si>
    <t>Quarter</t>
  </si>
  <si>
    <t xml:space="preserve"> 1.2 years</t>
  </si>
  <si>
    <t xml:space="preserve"> 2.5 years</t>
  </si>
  <si>
    <t xml:space="preserve"> 3.1 years</t>
  </si>
  <si>
    <t>Fairfax: Results of Active Management of Fixed Income Portfolio</t>
  </si>
  <si>
    <t>YE Total</t>
  </si>
  <si>
    <t>2-Year Change in US Treasury Rates</t>
  </si>
  <si>
    <t>Fixed Income</t>
  </si>
  <si>
    <t>Average Duration</t>
  </si>
  <si>
    <t>Portfolio</t>
  </si>
  <si>
    <t>Fairfax owns 6.6% more; during 1H 2022. Owns 73% (340.3mn), up from 67% (248.2mn). $60mn / 92.1 mn shares = $0.651/share</t>
  </si>
  <si>
    <t xml:space="preserve">Sold 40mn shares at INR 139.50 = INR 5.58bn. Still holds 300.2 mn shares. $67/40 = $1.675/share. </t>
  </si>
  <si>
    <t>Dec 4, 2023 sale of 40 million shares</t>
  </si>
  <si>
    <t xml:space="preserve"> 1.4 years</t>
  </si>
  <si>
    <t xml:space="preserve"> 1.6 years</t>
  </si>
  <si>
    <t>Debt Platform</t>
  </si>
  <si>
    <t>Q1 - 2023</t>
  </si>
  <si>
    <t>Q2 - 2023</t>
  </si>
  <si>
    <t>Q3 - 2023</t>
  </si>
  <si>
    <t>1 Half average price = $561/share</t>
  </si>
  <si>
    <t xml:space="preserve"> 9 Month avg price = $698/share</t>
  </si>
  <si>
    <t>Total decline in shares</t>
  </si>
  <si>
    <t>Added 2.5mn shares at C$3.82/sh. Owns 33.6 mn or 10.7% of shares outstanding.</t>
  </si>
  <si>
    <t>Updated: December 11, 2023</t>
  </si>
  <si>
    <t>YE</t>
  </si>
  <si>
    <t>Net Premiums Earned</t>
  </si>
  <si>
    <t>UW Profit</t>
  </si>
  <si>
    <t>December 11, 2023</t>
  </si>
  <si>
    <t>Q3 '22</t>
  </si>
  <si>
    <t>Q3 '23</t>
  </si>
  <si>
    <t>YTD</t>
  </si>
  <si>
    <t>Net Pr Earned</t>
  </si>
  <si>
    <t>Total Interest Income</t>
  </si>
  <si>
    <t>Avg</t>
  </si>
  <si>
    <t xml:space="preserve"> 2.4 years</t>
  </si>
  <si>
    <t>This needs to be added when calculating total shareholder return.</t>
  </si>
  <si>
    <t>peak!</t>
  </si>
  <si>
    <t>6.) Investments in Associates</t>
  </si>
  <si>
    <t xml:space="preserve">Net finance income (expense) from insurance contracts and reinsurance contract assets held </t>
  </si>
  <si>
    <t xml:space="preserve">Net finance income (expense) from insurance contracts </t>
  </si>
  <si>
    <t xml:space="preserve">Changes in the risk adjustment and other </t>
  </si>
  <si>
    <t>Effects included in Insurance Service Results</t>
  </si>
  <si>
    <t xml:space="preserve"> in the consolidated statement of earnings: </t>
  </si>
  <si>
    <t xml:space="preserve"> and reinsurance contract assets held as presented </t>
  </si>
  <si>
    <t>Net finance income (expense) from insurance contracts</t>
  </si>
  <si>
    <t xml:space="preserve"> and reinsurance contract assets held </t>
  </si>
  <si>
    <t>Effects of discounting for future periods and risk adjust-</t>
  </si>
  <si>
    <t xml:space="preserve"> ment and other recognized in Insurance Service Result: </t>
  </si>
  <si>
    <t>Discounting of losses and ceded on claims recorded</t>
  </si>
  <si>
    <t xml:space="preserve"> in the period</t>
  </si>
  <si>
    <t xml:space="preserve">Net finance income (expense) from reinsurance </t>
  </si>
  <si>
    <t xml:space="preserve"> contract assets held</t>
  </si>
  <si>
    <t xml:space="preserve">Total effects of discounting and risk adjustment recognized in the consolidated statement of earnings were comprised as follows: </t>
  </si>
  <si>
    <t>Total effects of discounting and risk adjustment (IFRS 17)</t>
  </si>
  <si>
    <t>December 15, 2023</t>
  </si>
  <si>
    <t>With KW, Fairfax increases commitment by $2 billion from $8bn to $10bn.</t>
  </si>
  <si>
    <t>Dec 31, 2023</t>
  </si>
  <si>
    <t>Top 30</t>
  </si>
  <si>
    <t>Ownership</t>
  </si>
  <si>
    <t>December 31, 2023</t>
  </si>
  <si>
    <t>December 31, 2021</t>
  </si>
  <si>
    <t>October 2023</t>
  </si>
  <si>
    <t>5 year</t>
  </si>
  <si>
    <t>US</t>
  </si>
  <si>
    <t>Treasury</t>
  </si>
  <si>
    <t>Duration</t>
  </si>
  <si>
    <t>Years</t>
  </si>
  <si>
    <t>increase</t>
  </si>
  <si>
    <t>over</t>
  </si>
  <si>
    <t>past 36</t>
  </si>
  <si>
    <t>months</t>
  </si>
  <si>
    <t>2020</t>
  </si>
  <si>
    <t>NPW</t>
  </si>
  <si>
    <t>Fairfax: Change in Net Premiums Written</t>
  </si>
  <si>
    <t>Added 2.439 million shares at C$4.10; new total = 73.995 million shares = 21%</t>
  </si>
  <si>
    <t>Poseidon / Altas #10</t>
  </si>
  <si>
    <t>US$ bn</t>
  </si>
  <si>
    <t>Increased common shareholders' equity by $2.4 billion and BVPS by $104.60</t>
  </si>
  <si>
    <t>IFRS 17 - Account Change - All insurers in Canada</t>
  </si>
  <si>
    <t>Updated: Dec 31, 2023</t>
  </si>
  <si>
    <t>2014-23</t>
  </si>
  <si>
    <t>Fairfax - Key Financial Metrics 2010-2020</t>
  </si>
  <si>
    <t>Debt Offering</t>
  </si>
  <si>
    <t>US$400 million at 6% (upsized to $600 million in January)</t>
  </si>
  <si>
    <t>US$279 million at 4.875% (was due Aug 13, 2024)</t>
  </si>
  <si>
    <t>Additional US$200 million at 6% (Dec 23 issued $400 million).</t>
  </si>
  <si>
    <t>avg 2015-2020</t>
  </si>
  <si>
    <t>5-year</t>
  </si>
  <si>
    <t>10-year</t>
  </si>
  <si>
    <t>Operating Income ROE</t>
  </si>
  <si>
    <t>E = average equity</t>
  </si>
  <si>
    <t>Average equity</t>
  </si>
  <si>
    <t>ROE calculation excludes $2.4 billion increase in common shareholders equity from IFRS 17 to start 2023.</t>
  </si>
  <si>
    <t>Average annual decline</t>
  </si>
  <si>
    <t>Year End</t>
  </si>
  <si>
    <t>Add to position (couple of adds in Jan)</t>
  </si>
  <si>
    <t>Blackberry #6</t>
  </si>
  <si>
    <t>Fairfax exits Blackbery debs. Prem also resigned from Blackberry board.</t>
  </si>
  <si>
    <t>148.48 x .34.06%</t>
  </si>
  <si>
    <t>Share count reduced from 752.5k to 190k @ $50/share?</t>
  </si>
  <si>
    <t>Share count reduced from 93.3 to 25.6 @ $128/share?</t>
  </si>
  <si>
    <t>Google</t>
  </si>
  <si>
    <t>Share count reduced from 334.6 to 274.6 @ $139.7/share?</t>
  </si>
  <si>
    <t xml:space="preserve">Share count increased from 31.1 to 37.6mn @ US$3.23 </t>
  </si>
  <si>
    <t>Altius Minerals</t>
  </si>
  <si>
    <t xml:space="preserve"> Avg price = $764/share</t>
  </si>
  <si>
    <t>Average Cost to Repurchase Shares</t>
  </si>
  <si>
    <t>OLA.TO</t>
  </si>
  <si>
    <t>Owns 19.4%; Converted 110 million debentures at 130/share. 98.1 million debentures remaining</t>
  </si>
  <si>
    <t>Total 2024</t>
  </si>
  <si>
    <t>Gulf Insurance Group #1</t>
  </si>
  <si>
    <t>Gulf Insurance Group #2</t>
  </si>
  <si>
    <t>Gulf Insurance Group #3</t>
  </si>
  <si>
    <t>RIM / Blackberry #1</t>
  </si>
  <si>
    <t>Poseidon</t>
  </si>
  <si>
    <t>Q1 2023 Exco repurchased 2% of shares</t>
  </si>
  <si>
    <t>D.) Other Holdings: Total Return Swaps</t>
  </si>
  <si>
    <t>E.) Other Holdings: Warrants + Debentures Etc</t>
  </si>
  <si>
    <t>Consolidated</t>
  </si>
  <si>
    <t>Top 3</t>
  </si>
  <si>
    <t>Top 10</t>
  </si>
  <si>
    <t>Top 20</t>
  </si>
  <si>
    <t>Remainder</t>
  </si>
  <si>
    <t>Dexterra</t>
  </si>
  <si>
    <t>Private</t>
  </si>
  <si>
    <t>Other?</t>
  </si>
  <si>
    <t>page 72 2023AR</t>
  </si>
  <si>
    <t>split</t>
  </si>
  <si>
    <t>Fairfax - Split of Interest and</t>
  </si>
  <si>
    <t xml:space="preserve"> Hard market. Strong earnings. GIG acquisition late Dec.</t>
  </si>
  <si>
    <t xml:space="preserve"> Strong earnings.</t>
  </si>
  <si>
    <t>Growth over 7 years from 2016-2023</t>
  </si>
  <si>
    <t xml:space="preserve"> Allied World acquisition.</t>
  </si>
  <si>
    <t xml:space="preserve"> First Capital sale.</t>
  </si>
  <si>
    <t xml:space="preserve"> Hard market starts.</t>
  </si>
  <si>
    <t xml:space="preserve"> Hard market accelerates.</t>
  </si>
  <si>
    <t>Fairfax: Fixed Income Portfolio Review</t>
  </si>
  <si>
    <t>Fairfax: Interest Income Review</t>
  </si>
  <si>
    <t>Control</t>
  </si>
  <si>
    <t xml:space="preserve"> Own &lt; 20%</t>
  </si>
  <si>
    <t>Fairfax: Equity Portfolio: Split by Accounting Treatment</t>
  </si>
  <si>
    <t xml:space="preserve"> Own 20 to 50%</t>
  </si>
  <si>
    <t xml:space="preserve"> Own &gt; 50%</t>
  </si>
  <si>
    <t xml:space="preserve"> Own / control</t>
  </si>
  <si>
    <t>Restaurants &amp; retail</t>
  </si>
  <si>
    <t>Restaurants &amp; Retail</t>
  </si>
  <si>
    <t>Sporting Life Group</t>
  </si>
  <si>
    <t>Sterling Holiday Resorts</t>
  </si>
  <si>
    <t>AGT Food &amp; Ingredients</t>
  </si>
  <si>
    <t>Dexterra Group</t>
  </si>
  <si>
    <t>Fairfax's</t>
  </si>
  <si>
    <t>Market Value</t>
  </si>
  <si>
    <t xml:space="preserve">Franchisor, owner and operator of restaurants </t>
  </si>
  <si>
    <t xml:space="preserve">Invests in public and private Indian businesses </t>
  </si>
  <si>
    <t xml:space="preserve">Provider of integrated travel and travel-related financial services </t>
  </si>
  <si>
    <t>Owner and operator of holiday resorts</t>
  </si>
  <si>
    <t xml:space="preserve">Originator, processor and distributor of value-added pulses and staple foods </t>
  </si>
  <si>
    <t xml:space="preserve">Provider of Infrastructure support services </t>
  </si>
  <si>
    <t xml:space="preserve">Entertainment content creator, producer and distributor </t>
  </si>
  <si>
    <t xml:space="preserve">Provider of advanced digital tools for agriculture </t>
  </si>
  <si>
    <t xml:space="preserve">Hospitality real estate investor, developer and manager </t>
  </si>
  <si>
    <t>Primary Business</t>
  </si>
  <si>
    <t>Pre-tax</t>
  </si>
  <si>
    <t>Revenue</t>
  </si>
  <si>
    <t>Pre-tax income (loss) before interest expense; excludes interest and dividends, share of profit (loss) of associates and net gains (losses) on investments.</t>
  </si>
  <si>
    <t>The majority of Fairfax India's earnings fall into Share of Profit of Associates.</t>
  </si>
  <si>
    <t>Recipe (1)</t>
  </si>
  <si>
    <t xml:space="preserve">(1) Market value shown for unlisted consolidated stocks is Fairfax’s carrying value </t>
  </si>
  <si>
    <t xml:space="preserve"> Farmers Edge ($112), Boat Rocker ($26), Grivalia Hospitality ($66)</t>
  </si>
  <si>
    <t xml:space="preserve"> Farmers Edge ($133.4 impairment)</t>
  </si>
  <si>
    <t>Canadian sports lifestyle retail organization (incl Golf Town)</t>
  </si>
  <si>
    <t>FBD Group - Ireland #1</t>
  </si>
  <si>
    <t>FBD Group - Ireland #2</t>
  </si>
  <si>
    <t>FBD pays Euro 86 million to purchase and cancel notes owned by Fairfax</t>
  </si>
  <si>
    <t>Sporting Life</t>
  </si>
  <si>
    <t>Total Increase</t>
  </si>
  <si>
    <t>Combined ratio</t>
  </si>
  <si>
    <t>Total return on investments</t>
  </si>
  <si>
    <t>5-Year Average From 2018-2022</t>
  </si>
  <si>
    <t>Peak Achiev. (Bauer)</t>
  </si>
  <si>
    <t>$b</t>
  </si>
  <si>
    <t>m</t>
  </si>
  <si>
    <t xml:space="preserve"> 2018 to 2023. Avg price = $481/share</t>
  </si>
  <si>
    <t>Fairfax - Reduction In Effective Shares Outstanding - Last 5 Years</t>
  </si>
  <si>
    <t>Float Increase 2014-'23</t>
  </si>
  <si>
    <t>Total Benefit 2018-2022</t>
  </si>
  <si>
    <t>Pre-tax gain = $280</t>
  </si>
  <si>
    <t>Senior Notes Due 2024</t>
  </si>
  <si>
    <t>Senior Canadian Notes Due 2025 C$348.6</t>
  </si>
  <si>
    <t>Unsecured Senior Notes Due 2033</t>
  </si>
  <si>
    <t>Fairfax sold 3 million shares at INR 900; still owns 30%</t>
  </si>
  <si>
    <t>6.6 million shares at INR 384; Fairfax owns 34.06% of Quess</t>
  </si>
  <si>
    <t>Subordinate</t>
  </si>
  <si>
    <t>Voting</t>
  </si>
  <si>
    <t>Jan 1</t>
  </si>
  <si>
    <t>During</t>
  </si>
  <si>
    <t>the Year</t>
  </si>
  <si>
    <t>Purchases</t>
  </si>
  <si>
    <t>For</t>
  </si>
  <si>
    <t>Cancellation</t>
  </si>
  <si>
    <t>Acquired</t>
  </si>
  <si>
    <t>Multiple</t>
  </si>
  <si>
    <t>Interest in</t>
  </si>
  <si>
    <t>Shares Held</t>
  </si>
  <si>
    <t>Through</t>
  </si>
  <si>
    <t>Stock</t>
  </si>
  <si>
    <t>Effectively</t>
  </si>
  <si>
    <t>$/share</t>
  </si>
  <si>
    <t>quantity</t>
  </si>
  <si>
    <t xml:space="preserve"> Part of the financing for the Brit acquisition.</t>
  </si>
  <si>
    <t>Issued</t>
  </si>
  <si>
    <t xml:space="preserve"> 1 million shares issued at C$735/share = net proceeds $523.5 (C$705.1) million after expenses of $22.2 (C$29.9) to finance the acquisition of Eurolife and additional investment in ICICI Lombard</t>
  </si>
  <si>
    <t xml:space="preserve"> 1.15 million shares issued at C$650/share = net proceeds $575.9 (C$717.1) million after expenses of $24.4(C$30.4) to finance acquisition of Brit; 19,294 to a shareholder of Cara in exchange for Cara common shares</t>
  </si>
  <si>
    <t xml:space="preserve"> 1 million shares issued at $399.49 or C$431/share for proceeds of $399.5</t>
  </si>
  <si>
    <t>Issuances</t>
  </si>
  <si>
    <t>Reissued</t>
  </si>
  <si>
    <t>Repurchased for Cancellation</t>
  </si>
  <si>
    <t>Repurchased for Treasury</t>
  </si>
  <si>
    <t>Fairfax Dividend</t>
  </si>
  <si>
    <t>$10/share</t>
  </si>
  <si>
    <t>APR Energy (US) #2</t>
  </si>
  <si>
    <t>$15/share (50% increase)</t>
  </si>
  <si>
    <t>Net Treasury Shares Acquired - for use in its share based payments awards</t>
  </si>
  <si>
    <t xml:space="preserve"> 5.076 million shares issued at $432/share = net proceeds $2.192 billion to finance the acquisition of Allied World</t>
  </si>
  <si>
    <t>Share-based</t>
  </si>
  <si>
    <t>Awards</t>
  </si>
  <si>
    <t>Shares For</t>
  </si>
  <si>
    <t>Diluted</t>
  </si>
  <si>
    <t>?</t>
  </si>
  <si>
    <t>$ m</t>
  </si>
  <si>
    <t>Fairfax: Common shares Issued 2015-2017</t>
  </si>
  <si>
    <t>BVPS</t>
  </si>
  <si>
    <t>Dec 31; m</t>
  </si>
  <si>
    <t>Increase in shares 2014 to 2017</t>
  </si>
  <si>
    <t>Debt</t>
  </si>
  <si>
    <t>3-Year Change</t>
  </si>
  <si>
    <t>Due</t>
  </si>
  <si>
    <t>Rate of</t>
  </si>
  <si>
    <t>Amount</t>
  </si>
  <si>
    <t>Dec 2017</t>
  </si>
  <si>
    <t>Mar 2016</t>
  </si>
  <si>
    <t>Feb 2015</t>
  </si>
  <si>
    <t>Dec 2016</t>
  </si>
  <si>
    <t>Summary of Debt Offerings 2015 to 2017</t>
  </si>
  <si>
    <t>Avg Rate</t>
  </si>
  <si>
    <t>Fairfax: Change in Net Debt 2014 to 2017</t>
  </si>
  <si>
    <t>First Capital</t>
  </si>
  <si>
    <t>Fairfax: Asset Monetizationas</t>
  </si>
  <si>
    <t xml:space="preserve"> Reduced stake to 9.9%</t>
  </si>
  <si>
    <t xml:space="preserve"> Sold to Sumitomo Insurance</t>
  </si>
  <si>
    <t>Fairfax: Growth from 2014 to 2023</t>
  </si>
  <si>
    <t>Net Premiums</t>
  </si>
  <si>
    <t>ments</t>
  </si>
  <si>
    <t>2016-21 Average</t>
  </si>
  <si>
    <t>Updated: May 7, 2024</t>
  </si>
  <si>
    <t>2024 Estimate</t>
  </si>
  <si>
    <t>Total Insurance and Investments</t>
  </si>
  <si>
    <t>Insurance - Underwriting Profit</t>
  </si>
  <si>
    <t>Investments - All Income Streams</t>
  </si>
  <si>
    <t>Non-insurance Subs (rev - exp)</t>
  </si>
  <si>
    <t>Large one-time gains</t>
  </si>
  <si>
    <t>Total Operating Income</t>
  </si>
  <si>
    <t>Total Non-Operating Income</t>
  </si>
  <si>
    <t>Fairfax: Operating Income View</t>
  </si>
  <si>
    <t>Non-Operating Income - Details of All Income Streams</t>
  </si>
  <si>
    <t>Fairfax - Income Streams - Details of Investments</t>
  </si>
  <si>
    <t>Investments - Int and Div Income</t>
  </si>
  <si>
    <t>Investments - Other excluding I&amp;D</t>
  </si>
  <si>
    <t>Fairfax - Income Streams - 2016-2021</t>
  </si>
  <si>
    <t>Peer Avg</t>
  </si>
  <si>
    <t>Peer</t>
  </si>
  <si>
    <t>Split</t>
  </si>
  <si>
    <t>Fairfax - Income Streams - 2016-2021 - Operating Income</t>
  </si>
  <si>
    <t>Compared to P/C Insurance Peers</t>
  </si>
  <si>
    <t>Updated: May 9, 2024</t>
  </si>
  <si>
    <t>Fairfax - Income Streams</t>
  </si>
  <si>
    <t>2016-21 Avg</t>
  </si>
  <si>
    <t>Increase in Size</t>
  </si>
  <si>
    <t>Operating Income</t>
  </si>
  <si>
    <t>Inv - Share of profit of associates</t>
  </si>
  <si>
    <t>16-21</t>
  </si>
  <si>
    <t>Inv - Share of Profit of associates</t>
  </si>
  <si>
    <t>Operating income</t>
  </si>
  <si>
    <t>Total A + B + C + D + E</t>
  </si>
  <si>
    <t>Total E: Warrants + Debentures</t>
  </si>
  <si>
    <t>Total FV vs CV</t>
  </si>
  <si>
    <t>YE BV</t>
  </si>
  <si>
    <t>Mandatory tender offer; increased equity interest from 90% to 97.1%</t>
  </si>
  <si>
    <t>Investments - Gains</t>
  </si>
  <si>
    <t>Insurance subs</t>
  </si>
  <si>
    <t>Dividend to Fairfax</t>
  </si>
  <si>
    <t>Fairfax Common Share Dividend</t>
  </si>
  <si>
    <t>$ billion</t>
  </si>
  <si>
    <t>'Purchased'</t>
  </si>
  <si>
    <t>Reduction in Eff Sh Outstan</t>
  </si>
  <si>
    <t>Added 17.9 million shares in Jan/Feb at est cost of C$4.6/share</t>
  </si>
  <si>
    <t>Position reduced from 40,000 to 8,000 units. Price?</t>
  </si>
  <si>
    <t>Updated: May 28, 2024</t>
  </si>
  <si>
    <t>Effect Shares Outstanding Dec 31</t>
  </si>
  <si>
    <t>Updated: June 3, 2024</t>
  </si>
  <si>
    <t>Q1 '24</t>
  </si>
  <si>
    <t>Non-insur consolidated companies</t>
  </si>
  <si>
    <t>Net investment gains including sales</t>
  </si>
  <si>
    <t>Annual Return (using avg investments)</t>
  </si>
  <si>
    <t>Fair Value (FV)</t>
  </si>
  <si>
    <t>Carrying Value (CV)</t>
  </si>
  <si>
    <t>Net Investment Gains - Including Sales / Revaluations</t>
  </si>
  <si>
    <t>Fairfax - Investment Portfolio - Total and Per Share Growth 2016-2023</t>
  </si>
  <si>
    <t>Investments Per Effective Share</t>
  </si>
  <si>
    <t>June 14, 2024</t>
  </si>
  <si>
    <t>Fairfax - Issued</t>
  </si>
  <si>
    <t>Fairfax - Redeemed</t>
  </si>
  <si>
    <t>Fairfax - To be redeemed</t>
  </si>
  <si>
    <t>Interest rate 4.35%</t>
  </si>
  <si>
    <t>Ensign Energy</t>
  </si>
  <si>
    <t>Position increased from 21.8 to 29.59 million shares at C$2.34/share. Terminated TRS with avg reference price of $1.3182.</t>
  </si>
  <si>
    <t>Senoir notes due 2054</t>
  </si>
  <si>
    <t>Interest rate: 6.35%</t>
  </si>
  <si>
    <t>Allied World Senior Notes due 2025</t>
  </si>
  <si>
    <t>Position reduced from 3.911 million to 0.695 mn shares. Price: $104.76?</t>
  </si>
  <si>
    <t>June 30, 2024</t>
  </si>
  <si>
    <t>BlackBerry</t>
  </si>
  <si>
    <t>John Keells Holdings #2</t>
  </si>
  <si>
    <t>John Keells Holdings #1</t>
  </si>
  <si>
    <t>John Keells Holdings #3</t>
  </si>
  <si>
    <t>Fairfax Financial - Equity Holdings Ranked by Market Value</t>
  </si>
  <si>
    <t>Excess</t>
  </si>
  <si>
    <t>of MV</t>
  </si>
  <si>
    <t>over CV</t>
  </si>
  <si>
    <t>Sell down position (2.9%)</t>
  </si>
  <si>
    <t>Proceeds 95m Euros (415m shares x 0.23 euro). Fairfax reduces ownership from 2.9% to 1.5%</t>
  </si>
  <si>
    <t>Average exchange rate Euro to US$ $1.1068</t>
  </si>
  <si>
    <t>Sale of final 1.5%. Estimate total gain from inception = US$800 million.</t>
  </si>
  <si>
    <t>Sept/Oct</t>
  </si>
  <si>
    <t xml:space="preserve">Sold final 9.9% stake in 2 sales. $311 million gain ($71 recorded in prior years so net gain = $240 million). </t>
  </si>
  <si>
    <t>Fairfax Asia</t>
  </si>
  <si>
    <t>MGU; 49% position purchased for $13 million in 2019. Sold to Amynta Group.</t>
  </si>
  <si>
    <t>Sutton Special Risk / Brit #4</t>
  </si>
  <si>
    <t>Gulf Insurance Group #4</t>
  </si>
  <si>
    <t>Realized gain on sale of $5.2b corporate bonds</t>
  </si>
  <si>
    <t>Interest income</t>
  </si>
  <si>
    <t>Total Return from fixed income portfolio</t>
  </si>
  <si>
    <t>Fairfax: Estimating total return from fixed income portfolio in 2021</t>
  </si>
  <si>
    <t>July 18, 2024</t>
  </si>
  <si>
    <t>Avg Yield</t>
  </si>
  <si>
    <t>Size of fixed income portfolio ($b)</t>
  </si>
  <si>
    <t>Sleep Country</t>
  </si>
  <si>
    <t>C$60 x 13 million = C$780 million x .0725 = US$566 million</t>
  </si>
  <si>
    <t>Cleveland-Cliffs</t>
  </si>
  <si>
    <t>New position</t>
  </si>
  <si>
    <t>Stelco sale: 0.454 CLF x $16/share x 13 million = US$94</t>
  </si>
  <si>
    <t>C (PY) - A - B</t>
  </si>
  <si>
    <t>Share Reduction</t>
  </si>
  <si>
    <t>Net gains on investment</t>
  </si>
  <si>
    <t>Under Armour</t>
  </si>
  <si>
    <t>Sold all 1.9 million shares at $18.00/share?</t>
  </si>
  <si>
    <t>Vanguard S&amp;P500</t>
  </si>
  <si>
    <t>UA</t>
  </si>
  <si>
    <t>From 8,000 to 95,000 units at $465/unit?</t>
  </si>
  <si>
    <t>Buy 4.2 million shares at $6.99/share?</t>
  </si>
  <si>
    <t>Position reduced from 0.695 mn shares to 40,100 shares. Price: $128?</t>
  </si>
  <si>
    <t>From 21.8 to 33.4 million shares at C$2.35/share?</t>
  </si>
  <si>
    <t>Jun/Aug</t>
  </si>
  <si>
    <t>Q2 '24</t>
  </si>
  <si>
    <t>Q1 ' 24</t>
  </si>
  <si>
    <t>Rawlings Sporting Goods</t>
  </si>
  <si>
    <t>Sold via Peak Achievement (amount not disclosed)</t>
  </si>
  <si>
    <t>Adjusted</t>
  </si>
  <si>
    <t>Total Increase (all holdings)</t>
  </si>
  <si>
    <t>Fairfax India captured at market value of shares, which is substantially below book value of assets held.</t>
  </si>
  <si>
    <t>Poseidon - FV of $2,046 = take private price at March 2023 of $15.50/share</t>
  </si>
  <si>
    <t>Digit - total company valuation</t>
  </si>
  <si>
    <t xml:space="preserve">Go Digit General Insurance </t>
  </si>
  <si>
    <t>GODIGIT:IN</t>
  </si>
  <si>
    <t xml:space="preserve"> IPO price = INR 272</t>
  </si>
  <si>
    <t>Go Digit Infoworks</t>
  </si>
  <si>
    <t>Total est MV of Fairfax's position</t>
  </si>
  <si>
    <t xml:space="preserve"> GDI owns 73.6% of Go Digit General Insurance</t>
  </si>
  <si>
    <t xml:space="preserve"> Fairfax owns 49% of GDI (before CCPS)</t>
  </si>
  <si>
    <t xml:space="preserve"> Fairfax owns 68% of GDI (including CCPS)?; once regulatory approval is received.</t>
  </si>
  <si>
    <t>Fairfax Ownership - Estimate of MV</t>
  </si>
  <si>
    <t>CCPS-GDI (subject to regul appr)</t>
  </si>
  <si>
    <t>Metlen Energy &amp; Metals</t>
  </si>
  <si>
    <t>Effective Shares Outst. - wt avg</t>
  </si>
  <si>
    <t>Diluted Shares Outstand - Dec 31</t>
  </si>
  <si>
    <t>Diluted Shares Outstand - wt avg</t>
  </si>
  <si>
    <t>Cash = $562.7 + debt = $317.9 (Sleep Country - non recourse to Fairfax).</t>
  </si>
  <si>
    <t>Count</t>
  </si>
  <si>
    <t>Effect.</t>
  </si>
  <si>
    <t>$m</t>
  </si>
  <si>
    <t>YE $b</t>
  </si>
  <si>
    <t>Q3 '24</t>
  </si>
  <si>
    <t>Poseidon (Atlas)</t>
  </si>
  <si>
    <t>Non-insurance Consolidated Companies</t>
  </si>
  <si>
    <t>Non-insurance Associates</t>
  </si>
  <si>
    <t>December 31, 2020</t>
  </si>
  <si>
    <t>(Defic.)</t>
  </si>
  <si>
    <t>FV over</t>
  </si>
  <si>
    <t>YTD/YOY Change</t>
  </si>
  <si>
    <t>Fairfax - Excess of Fair Value over Carrying Value - Measuring the Change</t>
  </si>
  <si>
    <t>Non-insurance Associates and Consolidated Companies</t>
  </si>
  <si>
    <t>$ million</t>
  </si>
  <si>
    <t>FFH-TRS</t>
  </si>
  <si>
    <t>Other Assoc</t>
  </si>
  <si>
    <t>$200/sh x 1.95m shares</t>
  </si>
  <si>
    <t>M to M - One time</t>
  </si>
  <si>
    <t>Consol</t>
  </si>
  <si>
    <t>2024 Estimates</t>
  </si>
  <si>
    <t>FV to CV</t>
  </si>
  <si>
    <t>Combined Ratio</t>
  </si>
  <si>
    <t>Investment Return</t>
  </si>
  <si>
    <t>Equities</t>
  </si>
  <si>
    <t>Total Investment Portfolio</t>
  </si>
  <si>
    <t>9yr CAGR</t>
  </si>
  <si>
    <t xml:space="preserve"> / Share</t>
  </si>
  <si>
    <t>Fairfax: 9 year CAGR for Net Premiums, Investments and Float</t>
  </si>
  <si>
    <t>Investment Portfolio</t>
  </si>
  <si>
    <t>2019*</t>
  </si>
  <si>
    <t>December 31, 2019</t>
  </si>
  <si>
    <t>December 31, 2018</t>
  </si>
  <si>
    <t>December 31, 2017</t>
  </si>
  <si>
    <t>December 31, 2016</t>
  </si>
  <si>
    <t>December 31, 2015</t>
  </si>
  <si>
    <t>Grivalia Properties</t>
  </si>
  <si>
    <t>December 31, 2014</t>
  </si>
  <si>
    <t>Recipe / Cara</t>
  </si>
  <si>
    <t>Helios Fairfax</t>
  </si>
  <si>
    <t>Resolute Forest Pr.</t>
  </si>
  <si>
    <t>AGT Foods</t>
  </si>
  <si>
    <t>Page 10 - 2020AR</t>
  </si>
  <si>
    <t>RFP</t>
  </si>
  <si>
    <t>APR</t>
  </si>
  <si>
    <t>Seaspan</t>
  </si>
  <si>
    <t>Peak</t>
  </si>
  <si>
    <t>Arbour</t>
  </si>
  <si>
    <t>Partnerships</t>
  </si>
  <si>
    <t>Info for this year is sparse</t>
  </si>
  <si>
    <t>Fairfax did not disclose</t>
  </si>
  <si>
    <t>Used 2018 numbers</t>
  </si>
  <si>
    <t>* For 2019 consolidated holdings are an estimate.</t>
  </si>
  <si>
    <t xml:space="preserve">Change in Excess of FV over CV for A+C </t>
  </si>
  <si>
    <t>Total Investment Return ($m)</t>
  </si>
  <si>
    <t>Total Investment Portfolio - Dec 31 ($b)</t>
  </si>
  <si>
    <t>Average Tot Investments ($b)</t>
  </si>
  <si>
    <t>Economic</t>
  </si>
  <si>
    <t>Quoted</t>
  </si>
  <si>
    <t>MV</t>
  </si>
  <si>
    <t>Helios</t>
  </si>
  <si>
    <t>Odyssey Filing</t>
  </si>
  <si>
    <t>FFH Share</t>
  </si>
  <si>
    <t>Sigma Companies</t>
  </si>
  <si>
    <t>2018296 Alberta ULC</t>
  </si>
  <si>
    <t>Alibaba</t>
  </si>
  <si>
    <t>CLF</t>
  </si>
  <si>
    <t>AGT Food Ingredients</t>
  </si>
  <si>
    <t>ORLA</t>
  </si>
  <si>
    <t>Sigma International Group</t>
  </si>
  <si>
    <t>Net Premiums W</t>
  </si>
  <si>
    <t>Intnl</t>
  </si>
  <si>
    <t>Fairfax Ownership</t>
  </si>
  <si>
    <t>Fairfax: Net Premiums Written Adjusted for Minority Partners</t>
  </si>
  <si>
    <t>Fairfax: Net Premiums Written (2023) Adjusted for Minority Partners</t>
  </si>
  <si>
    <t>10-yr CAGR</t>
  </si>
  <si>
    <t>Fairfax - Net Premiums Written</t>
  </si>
  <si>
    <t>10-yr increase</t>
  </si>
  <si>
    <t>Fairfax: NPW 10-Yr Growth - 2014 to 2024</t>
  </si>
  <si>
    <t>Fairfax: NPW 4-Yr Growth - 2014 to 2018</t>
  </si>
  <si>
    <t>5 -year average 2019-2023</t>
  </si>
  <si>
    <t>Dec 28, 2024</t>
  </si>
  <si>
    <t>5-Year Average (2016-2020) = 9%</t>
  </si>
  <si>
    <t>Majority owned by Moses Znaimer (63%); As of August 31, 2021, ZoomerMedia reported $88.6 million in total assets and $33.3 million in cash and short-term investments.</t>
  </si>
  <si>
    <t>KHC</t>
  </si>
  <si>
    <t>Kraft Heinz</t>
  </si>
  <si>
    <t>Excess of MV over CV</t>
  </si>
  <si>
    <t>Fairfax - Total Reduction In Share Count Last 7 Years</t>
  </si>
  <si>
    <t>7-Yr Avg</t>
  </si>
  <si>
    <t>Annual change in excess of FV over CV</t>
  </si>
  <si>
    <t>Total Investments per share (YE)</t>
  </si>
  <si>
    <t>Year-over-year change</t>
  </si>
  <si>
    <t>5-yr Change</t>
  </si>
  <si>
    <t>Fairfax Investment Portfolio (Fixed Income and Equities)</t>
  </si>
  <si>
    <t>5-yr CAGR</t>
  </si>
  <si>
    <t>Total Portfolio</t>
  </si>
  <si>
    <t>Estimated Return</t>
  </si>
  <si>
    <t>Fairfax - Total Investment Portfolio</t>
  </si>
  <si>
    <t>Estimate of 'Normalized' Rate of Return</t>
  </si>
  <si>
    <t>Fairfax: Net Premiums Written - 5 yr Change</t>
  </si>
  <si>
    <t>5-yr Avg</t>
  </si>
  <si>
    <t>Fairfax: Underwriting - 5 yr Performance</t>
  </si>
  <si>
    <t>/Share</t>
  </si>
  <si>
    <t>Adverse development</t>
  </si>
  <si>
    <t>Driven by 'incremental increases in litigation activity and its associated costs'</t>
  </si>
  <si>
    <t>Fairfax: Underwriting</t>
  </si>
  <si>
    <t>Jan 19, 2025</t>
  </si>
  <si>
    <t>Northbridge</t>
  </si>
  <si>
    <t>Odyssey Group</t>
  </si>
  <si>
    <t>International Re/Insurers</t>
  </si>
  <si>
    <t>Cat</t>
  </si>
  <si>
    <t>Losses</t>
  </si>
  <si>
    <t>CR ex</t>
  </si>
  <si>
    <t>2023 (AR - Page 7)</t>
  </si>
  <si>
    <t>2022 (AR - Page 7)</t>
  </si>
  <si>
    <t>2021 (AR - Page 7)</t>
  </si>
  <si>
    <t>2020 (AR - Page 7)</t>
  </si>
  <si>
    <t>2019 (AR - Page 7)</t>
  </si>
  <si>
    <t>UW</t>
  </si>
  <si>
    <t>Net Favourable Reserve Development</t>
  </si>
  <si>
    <t>CR  - Calendar Year</t>
  </si>
  <si>
    <t>CR - Accident Year</t>
  </si>
  <si>
    <t>Sources of net earnings - AR Page 141</t>
  </si>
  <si>
    <t>Underwriting profit P/C Re/Insurance</t>
  </si>
  <si>
    <t>Loss &amp; LAE - Accident year</t>
  </si>
  <si>
    <t>Commissions</t>
  </si>
  <si>
    <t>Underwriting expense</t>
  </si>
  <si>
    <t>Cat Losses</t>
  </si>
  <si>
    <t>Net favourable</t>
  </si>
  <si>
    <t>PY reserve</t>
  </si>
  <si>
    <t>development</t>
  </si>
  <si>
    <t>Fairfax - 5 Year Performance</t>
  </si>
  <si>
    <t>AR - Page 137</t>
  </si>
  <si>
    <t>2025</t>
  </si>
  <si>
    <t>Total 2025</t>
  </si>
  <si>
    <t>Andy Barnard</t>
  </si>
  <si>
    <t>Carl Overy</t>
  </si>
  <si>
    <t>Prem "“Brian and Andy have worked together for nearly 35 years, the last 28 at Fairfax."</t>
  </si>
  <si>
    <t>"Our expansive global (re)insurance operations will benefit greatly from their collective oversight."</t>
  </si>
  <si>
    <t>"Carl is a proven leader who has devoted more than two decades of his life to Odyssey."</t>
  </si>
  <si>
    <t>Buy out minority partner</t>
  </si>
  <si>
    <t>Cumulative Preferred Shares</t>
  </si>
  <si>
    <t>Redemtion</t>
  </si>
  <si>
    <t>New issuance</t>
  </si>
  <si>
    <t>C$450 million (4.73% due 2034)</t>
  </si>
  <si>
    <t>C$250 million (5.23% due 2054)</t>
  </si>
  <si>
    <t>Interest rate 6.1% due 2055</t>
  </si>
  <si>
    <t>Interest rate 6% ue 2033</t>
  </si>
  <si>
    <t>Fairfax - Issued debt - 30 year</t>
  </si>
  <si>
    <t>Fairfax - Issued debt - 10 year</t>
  </si>
  <si>
    <t>Fairfax issued debt - 10 year</t>
  </si>
  <si>
    <t>Fairfax issued debt - 30 year</t>
  </si>
  <si>
    <t>Reduce position</t>
  </si>
  <si>
    <t>Gobi Athappan</t>
  </si>
  <si>
    <t>Following the passing of his father, Mr. Athappan</t>
  </si>
  <si>
    <t>Appointed - Chairman and CEO Fairfax Asia</t>
  </si>
  <si>
    <t>Appointed - Chairman - Fairfax Insurance Group</t>
  </si>
  <si>
    <t>Appointed - President - Fairfax Insurance Group</t>
  </si>
  <si>
    <t>appointed - CEO - Odyssey</t>
  </si>
  <si>
    <t>Unsecured Senior Notes Due 2055</t>
  </si>
  <si>
    <t>3.716 billion shares outstanding (Dec 2023); sold 80m Jan 2025</t>
  </si>
  <si>
    <t>Total Net Benefit</t>
  </si>
  <si>
    <t>Marval Guru Fund</t>
  </si>
  <si>
    <t>Initial investment of $50m made in 2017. Run by Ben Watsa, son of founder Prem Watsa</t>
  </si>
  <si>
    <t>Ben Watsa</t>
  </si>
  <si>
    <t>Appointed - Chairman of Fairfax India</t>
  </si>
  <si>
    <t>Relaces Prem Watsa, who will continue to sit on the board of Fairfax India</t>
  </si>
  <si>
    <t>Gopal Soundarajan</t>
  </si>
  <si>
    <t>Appointed - CEO of Fairfax India</t>
  </si>
  <si>
    <t>Replaces Chandran Ratnaswami, who becomes Executive Vice Chairman of Fairfax India</t>
  </si>
  <si>
    <t>Metlen</t>
  </si>
  <si>
    <t>Position increased to 9.2m shares (6.688m +2.5m). Exchangeable bond converted to shares.</t>
  </si>
  <si>
    <t>Markel</t>
  </si>
  <si>
    <t>2024</t>
  </si>
  <si>
    <t>Shares Outstanding - 5 -Year Change (2019 to 2024)</t>
  </si>
  <si>
    <t>5-Year Change</t>
  </si>
  <si>
    <t>MKL = common shares outstanding; FFH = effective shares outstanding (2024E)</t>
  </si>
  <si>
    <t>Blizzard Vacatia Equity Partners LLC</t>
  </si>
  <si>
    <t>CVS</t>
  </si>
  <si>
    <t>ATS</t>
  </si>
  <si>
    <t>ATS Corp</t>
  </si>
  <si>
    <t>Molson Coors</t>
  </si>
  <si>
    <t>TAP</t>
  </si>
  <si>
    <t>Reduced position by 203,800 shares; still hold 1.76 million.</t>
  </si>
  <si>
    <t>Fairfax Total Return Swaps - #3</t>
  </si>
  <si>
    <t>Fairfax Total Return Swaps - #2</t>
  </si>
  <si>
    <t>Peak Achievements</t>
  </si>
  <si>
    <t xml:space="preserve">Own 100%. Bought out Sagard and minority partners = 57.4%. Total consideration = $765m. Fairfax position (42.5%) marked up to fair value of $325.7. </t>
  </si>
  <si>
    <t>Take private (total purchase consideration)</t>
  </si>
  <si>
    <t>33% equity interest; expected to close Q2 2025.</t>
  </si>
  <si>
    <t>Albingia SA (French specialty P/C insurance company)</t>
  </si>
  <si>
    <t>Annual share repurchases - for treasury</t>
  </si>
  <si>
    <t>Annual share repurchases - retired</t>
  </si>
  <si>
    <t>1,346,953 shares at $1,179/share</t>
  </si>
  <si>
    <t xml:space="preserve">Proceeds from IPO - likely one time in nature. </t>
  </si>
  <si>
    <t>Digit - Dividend</t>
  </si>
  <si>
    <t>Significant infl. but not control</t>
  </si>
  <si>
    <t>MV &gt; CV</t>
  </si>
  <si>
    <t>Dec 31, 2024 press release; not including $4.2m debentures exercisable @ $3.50/sh. = 1.2 million more</t>
  </si>
  <si>
    <t>Redemption</t>
  </si>
  <si>
    <t>C$250 million</t>
  </si>
  <si>
    <t>Convert exchangeable bond</t>
  </si>
  <si>
    <t>2024AR</t>
  </si>
  <si>
    <t>Waterous Energy Fund III</t>
  </si>
  <si>
    <t>Eurobank, Poseidon, EXCO</t>
  </si>
  <si>
    <t>Plug number</t>
  </si>
  <si>
    <t>Reduced position Q4 2024</t>
  </si>
  <si>
    <t>Page 139 2024AR</t>
  </si>
  <si>
    <t>Updated: March 15, 2025</t>
  </si>
  <si>
    <t>Peak (-$57)</t>
  </si>
  <si>
    <t>Decemver 31, 2024</t>
  </si>
  <si>
    <t>Page 16 2024AR</t>
  </si>
  <si>
    <t>Page 15 2023AR</t>
  </si>
  <si>
    <t>Page 11 2021AR</t>
  </si>
  <si>
    <t>Poseidon / Atlas</t>
  </si>
  <si>
    <t>Page 13 2022AR</t>
  </si>
  <si>
    <t>4-Year Average</t>
  </si>
  <si>
    <t>Proceeds/Amount</t>
  </si>
  <si>
    <t>4-Yr Avg (2021-2024) = 20%</t>
  </si>
  <si>
    <t>Dividend Income ($m)</t>
  </si>
  <si>
    <t>Page 62 2024AR</t>
  </si>
  <si>
    <t xml:space="preserve"> Slowing hard market. Strong earnings. Higher interest rates.</t>
  </si>
  <si>
    <t xml:space="preserve"> 8-Year Total Change</t>
  </si>
  <si>
    <t xml:space="preserve"> 8-Year CAGR</t>
  </si>
  <si>
    <t xml:space="preserve"> 8-Year Total Change </t>
  </si>
  <si>
    <t>Fairfax India (ex IIFL)</t>
  </si>
  <si>
    <t>Sold in 2022</t>
  </si>
  <si>
    <t>Sold in 2024</t>
  </si>
  <si>
    <t>Size</t>
  </si>
  <si>
    <t>2024AR - Page 16</t>
  </si>
  <si>
    <t>Non-insurance Consolidated Companies - Operating Income</t>
  </si>
  <si>
    <t>Income (1)</t>
  </si>
  <si>
    <t>2024AR - Page 165</t>
  </si>
  <si>
    <t>December 31, 2024</t>
  </si>
  <si>
    <t>MV &gt; FV</t>
  </si>
  <si>
    <t>Non-insurance Consol. Companies</t>
  </si>
  <si>
    <t>Excess of</t>
  </si>
  <si>
    <t>Total ($m)</t>
  </si>
  <si>
    <t>Specialty sleep retailer</t>
  </si>
  <si>
    <t>2024AR - Page 132</t>
  </si>
  <si>
    <t>Designer, manufacturer and distributor of performance sports equipment</t>
  </si>
  <si>
    <t>Provider of value-added milk, fats, fresh confectionary and plant-based ingred</t>
  </si>
  <si>
    <t>Fairfax India (2)</t>
  </si>
  <si>
    <t>(2) Fairfax has voting control over Fairfax India, Dexterra and Boat Rocker.</t>
  </si>
  <si>
    <t xml:space="preserve"> Farmers Edge ($52), Grivalia Hospitality ($67)</t>
  </si>
  <si>
    <t>Income*</t>
  </si>
  <si>
    <t>4 year growth</t>
  </si>
  <si>
    <t>* Pre-tax income (loss) before interest expense; excludes interest and dividends, share of profit (loss) of associates</t>
  </si>
  <si>
    <t xml:space="preserve">   and net gains (losses) on investments.</t>
  </si>
  <si>
    <t>Fairfax: Changes in Non-Insurance Consolidated Holdings</t>
  </si>
  <si>
    <t>Privi</t>
  </si>
  <si>
    <t>Toys R Us Canada</t>
  </si>
  <si>
    <t>PetHealth</t>
  </si>
  <si>
    <t>Deconsolidated</t>
  </si>
  <si>
    <t>April 29</t>
  </si>
  <si>
    <t>Aug 19</t>
  </si>
  <si>
    <t>Aug 5</t>
  </si>
  <si>
    <t>Oct 31</t>
  </si>
  <si>
    <t>Oct 1</t>
  </si>
  <si>
    <t>Nov 29</t>
  </si>
  <si>
    <t>Dec 20</t>
  </si>
  <si>
    <t>July 5</t>
  </si>
  <si>
    <t>Maxop &amp; Jaynix (FIH)</t>
  </si>
  <si>
    <t xml:space="preserve"> From 42.5%</t>
  </si>
  <si>
    <t xml:space="preserve"> From 33%</t>
  </si>
  <si>
    <t>Dec 31, 2024</t>
  </si>
  <si>
    <t>17/18</t>
  </si>
  <si>
    <t>19/20</t>
  </si>
  <si>
    <t>21/22</t>
  </si>
  <si>
    <t>23/24</t>
  </si>
  <si>
    <t>Avg Total Investments - Dec 31 ($b)</t>
  </si>
  <si>
    <t>Avg Total Investment Return ($m)</t>
  </si>
  <si>
    <t>Interest &amp; dividend income</t>
  </si>
  <si>
    <t>8-Year (2016-2024) Per Share Compound Annual Growth Rate (CAGR)</t>
  </si>
  <si>
    <t>Shares Outstanding Dec 31 (m)</t>
  </si>
  <si>
    <t>in Excess</t>
  </si>
  <si>
    <t>Combined</t>
  </si>
  <si>
    <t>Return on</t>
  </si>
  <si>
    <t>Fairfax: Base Assumptions</t>
  </si>
  <si>
    <t>Recipe, Sl Country, Peak</t>
  </si>
  <si>
    <t>Exchangeable bond</t>
  </si>
  <si>
    <t>Boat Rocker / Blue Ant Media</t>
  </si>
  <si>
    <t>€110m; option to acquire 2.75m shares at €40/share (upon conversion Fairfax would onw 8.35% of Metlan)</t>
  </si>
  <si>
    <t>Annual Change</t>
  </si>
  <si>
    <t>Inreased position to 93.2%</t>
  </si>
  <si>
    <t>Fairfax's Top 3 Equity Holdings</t>
  </si>
  <si>
    <t>Total Top 3 Holdings</t>
  </si>
  <si>
    <t>Total All Equity Holdings</t>
  </si>
  <si>
    <t xml:space="preserve"> Ownership</t>
  </si>
  <si>
    <t xml:space="preserve"> Significant infl. but not control</t>
  </si>
  <si>
    <t xml:space="preserve"> Control</t>
  </si>
  <si>
    <t xml:space="preserve"> Comments</t>
  </si>
  <si>
    <t>FFH owns 96.9m shares. Private placement 10.3 + 12.5m shares at C$4.05/share.</t>
  </si>
  <si>
    <t>55.6 million shares @ C$1.80/share</t>
  </si>
  <si>
    <t>Add to position - private placement</t>
  </si>
  <si>
    <t>Add to position - Exercised warrants</t>
  </si>
  <si>
    <t>Interest rate = 4.5%; Maturity 5 years; Conversion right = $7.90 into Orla shares. Warrants = .66 common shares @ $11.50/share</t>
  </si>
  <si>
    <t>Warrants = .66 common shares @ $11.50/share</t>
  </si>
  <si>
    <t>Convertible bonds + warrants</t>
  </si>
  <si>
    <t>207,974 shares at $1,154/share</t>
  </si>
  <si>
    <t>Includes option for 2.5 million shares @ €20 = €50 million (to Dec 2024)</t>
  </si>
  <si>
    <t>Exercise of option 2.5 mill shares @ €20 = €50m. Boosts FFH stake to 6.43%</t>
  </si>
  <si>
    <t>Exchangeable bonds</t>
  </si>
  <si>
    <t>After conversion, Fairfax owns 24.5% of John Keells</t>
  </si>
  <si>
    <t>Jul</t>
  </si>
  <si>
    <t>Rights Offering</t>
  </si>
  <si>
    <t>Share split - 10 for 1</t>
  </si>
  <si>
    <t>John Keells Holdings #4</t>
  </si>
  <si>
    <t>IIFL - Capital Services</t>
  </si>
  <si>
    <t>John Keells #5</t>
  </si>
  <si>
    <t>Orla Mining (1)</t>
  </si>
  <si>
    <t>Convertible Bonds</t>
  </si>
  <si>
    <t>Digitide Solutions</t>
  </si>
  <si>
    <t>created from 4 listed above (4 company's merged in 2012)</t>
  </si>
  <si>
    <t>Takout of minority partner/Cara Operations</t>
  </si>
  <si>
    <t>5.9 to 14.899</t>
  </si>
  <si>
    <t>Cleveland Cliffs</t>
  </si>
  <si>
    <t>Total shares increased from 5.9m to 14.9m</t>
  </si>
  <si>
    <t>Buyout of KRIF</t>
  </si>
  <si>
    <t>5.75% due 2035</t>
  </si>
  <si>
    <t>6.5% due 2055</t>
  </si>
  <si>
    <t>Estimate</t>
  </si>
  <si>
    <t>Fairfax participated proportionately (24.5%). Total offer was 150m shares at Rs. 160/share ($80 million total)</t>
  </si>
  <si>
    <t>Convert debentures (110 million)</t>
  </si>
  <si>
    <t>Convert remaining debentures (98.125m)</t>
  </si>
  <si>
    <t>10 for 1 stock split Oct 2024</t>
  </si>
  <si>
    <t>May 27, 2025</t>
  </si>
  <si>
    <t>$15/share</t>
  </si>
  <si>
    <t>Increased ownership from 86.2% to 100%. Total consideration of $525.9, inclusive of the fair value of a call option exercised and an accrued dividend paid.</t>
  </si>
  <si>
    <t>2016-20</t>
  </si>
  <si>
    <t>June 2, 2025</t>
  </si>
  <si>
    <t>Total $ (m)</t>
  </si>
  <si>
    <t>(m)</t>
  </si>
  <si>
    <t>Amount Raised</t>
  </si>
  <si>
    <t>Fairfax: Share Issuance 2015 to 2017</t>
  </si>
  <si>
    <t>3-YR Change</t>
  </si>
  <si>
    <t>Fairfax: Float (Including Runoff)</t>
  </si>
  <si>
    <t>$ b</t>
  </si>
  <si>
    <t>US$ b</t>
  </si>
  <si>
    <t>2021</t>
  </si>
  <si>
    <t>2022</t>
  </si>
  <si>
    <t>2023</t>
  </si>
  <si>
    <t>YE m</t>
  </si>
  <si>
    <t>2019</t>
  </si>
  <si>
    <t>Total Including TRS</t>
  </si>
  <si>
    <t>$150 million total. Take private of Keg Royalty Income Fund (Fairfax already owns 50.5% so cost = $75 million)</t>
  </si>
  <si>
    <t>Fairfax holds 248.2 mn shares. Preferred shares have conversion provision to reg shares (conversion at INR 47.3)</t>
  </si>
  <si>
    <t>Reduction in Eff Shares Outstanding</t>
  </si>
  <si>
    <t>For Fun, Let's Add Share Buybacks with the FFH-TRS</t>
  </si>
  <si>
    <t>Updated: June 20, 2025</t>
  </si>
  <si>
    <t>Fairfax Share Price June 20, 2025</t>
  </si>
  <si>
    <t>5-Year Value Creation for Shareholders</t>
  </si>
  <si>
    <t>Total $ b</t>
  </si>
  <si>
    <t>Very Crude Estimate</t>
  </si>
  <si>
    <t>5-Year Value Creation</t>
  </si>
  <si>
    <t>Very Crude Estimate of</t>
  </si>
  <si>
    <t>5-Year Change From 2020 to 2024</t>
  </si>
  <si>
    <t>FFH-Total Return Swaps (size today)</t>
  </si>
  <si>
    <t>FFH-Total Return Swaps estimated return does not include carrying costs.</t>
  </si>
  <si>
    <t>DIGITIDE.BO</t>
  </si>
  <si>
    <t>BLUSPRING.BO</t>
  </si>
  <si>
    <t>IIFLCAPS.BO</t>
  </si>
  <si>
    <t>July 4 2025 announcement</t>
  </si>
  <si>
    <t>Position increased to 11.94m shares (9.2m +2.75m). Exchangeable bond converted to shares.</t>
  </si>
  <si>
    <t xml:space="preserve"> 10-Year Change</t>
  </si>
  <si>
    <t xml:space="preserve"> 10-Year CAGR</t>
  </si>
  <si>
    <t>`</t>
  </si>
  <si>
    <t>Net Prem Written</t>
  </si>
  <si>
    <t>Re/Insurance Float</t>
  </si>
  <si>
    <t>Total $b</t>
  </si>
  <si>
    <t>Fairfax: 10-Year Per Share Growth in NPW and Float</t>
  </si>
  <si>
    <t>Re/Insur. Float</t>
  </si>
  <si>
    <t>Per Common Share (21.7 million)</t>
  </si>
  <si>
    <t xml:space="preserve">   10-Yr</t>
  </si>
  <si>
    <t xml:space="preserve">   10-Yr CAGR</t>
  </si>
  <si>
    <t>Fairfax - 10 Year Change in Float</t>
  </si>
  <si>
    <t>CR Average 2021-2024</t>
  </si>
  <si>
    <t>Peter Clarke</t>
  </si>
  <si>
    <t>Appointed President</t>
  </si>
  <si>
    <t>Peter has held the position of VP, COO, Chief Risk Officer and Chief Actuary. </t>
  </si>
  <si>
    <t>Shared oversight of Fairfax Insurance Group</t>
  </si>
  <si>
    <t>With Andy Barnard, oversight over all of Fairfax’s re/insurance operations.</t>
  </si>
  <si>
    <t>P. Clarke, J. Allen &amp; W. Burton</t>
  </si>
  <si>
    <t>Prem steps back from this function.</t>
  </si>
  <si>
    <t>Host quarterly conference calls moving forward</t>
  </si>
  <si>
    <t>Jennifer Allen</t>
  </si>
  <si>
    <t>Appointed Chief Business Officer</t>
  </si>
  <si>
    <t>Was CFO</t>
  </si>
  <si>
    <t>Amy Sherk</t>
  </si>
  <si>
    <t>Appointed CFO</t>
  </si>
  <si>
    <t>Was CFO Fairfax India</t>
  </si>
  <si>
    <t>Christine Magee</t>
  </si>
  <si>
    <t>Appointed - Fairfax Board</t>
  </si>
  <si>
    <t>Joins as indep. director. Benefit from bus. experience and entrepreneurship. Founded Sleep Country.</t>
  </si>
  <si>
    <t>Mr. Amitabh Kant </t>
  </si>
  <si>
    <t>Senior advisor</t>
  </si>
  <si>
    <t xml:space="preserve">Extensive experience in spearheading large-scale development in India. </t>
  </si>
  <si>
    <t>Purchased Canadian rights to Olive Garden and all Canadian locations (8).</t>
  </si>
  <si>
    <t>Size of Gain? Purchased for €21m in 2014 and sold for €120m to €130m.</t>
  </si>
  <si>
    <t>Bluspring Enterprises</t>
  </si>
  <si>
    <t>FFH owns 121.9m shares. Private placement (25m x C$3/sh = C$75m).</t>
  </si>
  <si>
    <t>Quarter Change</t>
  </si>
  <si>
    <t>Fairfax: Performance of Equity Portfolio</t>
  </si>
  <si>
    <t>2026E</t>
  </si>
  <si>
    <t>Aug 2, 2025</t>
  </si>
  <si>
    <t>Q1 '25</t>
  </si>
  <si>
    <t>Q2 '25</t>
  </si>
  <si>
    <t>Q3 '25</t>
  </si>
  <si>
    <t>Added late 2024</t>
  </si>
  <si>
    <t>Sold in 2025</t>
  </si>
  <si>
    <t>Late 2023 &lt;20%</t>
  </si>
  <si>
    <t>Consol Dec 2023</t>
  </si>
  <si>
    <t>Reported Diluted EPS</t>
  </si>
  <si>
    <t>Run-off: Page 55 of Q2 report?</t>
  </si>
  <si>
    <t>Insurance service results?</t>
  </si>
  <si>
    <t>Page 25 of Q2 report?</t>
  </si>
  <si>
    <t>Back out items?</t>
  </si>
  <si>
    <t>Page 43 of Q2 report?</t>
  </si>
  <si>
    <t>2023AR</t>
  </si>
  <si>
    <t>Pg 139</t>
  </si>
  <si>
    <t>Pg 28</t>
  </si>
  <si>
    <t>Pg 36</t>
  </si>
  <si>
    <t>IR</t>
  </si>
  <si>
    <t>Effects included in Insurance service results</t>
  </si>
  <si>
    <t>Pg 138</t>
  </si>
  <si>
    <t>As reported</t>
  </si>
  <si>
    <t>Effects of disc and risk adj (IFRS 17)</t>
  </si>
  <si>
    <t>Fairfax Financial - Earnings History and Estimates</t>
  </si>
  <si>
    <t>3yr avg</t>
  </si>
  <si>
    <t>BV Per</t>
  </si>
  <si>
    <t>4-Yr Avg</t>
  </si>
  <si>
    <t>Fairfax pays a dividend of $15/share each year.</t>
  </si>
  <si>
    <t>Life insurance &amp; run-off</t>
  </si>
  <si>
    <t>1.) Does not incl life insur &amp; run-off</t>
  </si>
  <si>
    <t>Underwriting profit - re/insur (1)</t>
  </si>
  <si>
    <t>First mortgage loans</t>
  </si>
  <si>
    <t>From $4.69b at YE 2023 to $4.78b at YE 2024 = increase of $90m in 2024</t>
  </si>
  <si>
    <t>From $2.50b at YE 2022 to $4.69b at YE 2023 = increase of $2.19b in 2023. See PacWest (June 5)</t>
  </si>
  <si>
    <t>'...related to legacy claims, primarily latent hazard claims, construction defects and workers compensation' p137 2024AR</t>
  </si>
  <si>
    <t xml:space="preserve">Sigma Companies International </t>
  </si>
  <si>
    <t>1,186 - 7.9 = 1,178.1m shares (7.9m shares at €2.886/sh = €22.8m = US$26.4). Gain  = $9.5m.</t>
  </si>
  <si>
    <t>1,266 - 80 = 1,186m (80m shares at €2.294/sh = €183.5m = US$190.8). Gain = $36.5m. Sale gets ownership stake in line with max allowed by Greek law.</t>
  </si>
  <si>
    <t>Change YOY - Per Dilut Sh (pre-tax)</t>
  </si>
  <si>
    <t>Change YOY - Per Dilut Sh (after-tax)</t>
  </si>
  <si>
    <t>Economic EPS (Reported + Ex FV CV)</t>
  </si>
  <si>
    <t>Excess of FV over CV for Non-Insurance Associate and Consolidated Companies</t>
  </si>
  <si>
    <t>C$400 million (4.45% due 2035)</t>
  </si>
  <si>
    <t>C$300 million (5.1% due 2055)</t>
  </si>
  <si>
    <t>June 30, 2025</t>
  </si>
  <si>
    <t>4-year average per diluted share after-tax</t>
  </si>
  <si>
    <t>Avg Diluted Shares Outstanding</t>
  </si>
  <si>
    <t>Per Diluted Share</t>
  </si>
  <si>
    <t>Diluted shares Outstanding Dec 31</t>
  </si>
  <si>
    <t>Increased by 1.52m (from 3.36 to 4.88m shares).</t>
  </si>
  <si>
    <t>Decreased by 5.94m (from 46.72 to 40.78m shares).</t>
  </si>
  <si>
    <t>S&amp;P 500 (VOO)</t>
  </si>
  <si>
    <t>72,900 shares at $568/share</t>
  </si>
  <si>
    <t>Decreased by 48,000 (from 141,700 to 93,700 shares).</t>
  </si>
  <si>
    <t>M</t>
  </si>
  <si>
    <t>Recipe (2)</t>
  </si>
  <si>
    <t>Total Equity Holdings</t>
  </si>
  <si>
    <t>(2) Fairfax now owns 100% of Recipe</t>
  </si>
  <si>
    <t>(1) Orla - includes convertible bonds / warrants</t>
  </si>
  <si>
    <t>Private holdings: market value at Dec 31, 2024. M = Mark to market; A = Assoc.; C = Consolid.</t>
  </si>
  <si>
    <t>Type</t>
  </si>
  <si>
    <t>Total Return: 6 Month = Jan to June, 2025. 5-Year = June 30, 2020 to June 30, 2025. Ex dividends.</t>
  </si>
  <si>
    <t>US$ m</t>
  </si>
  <si>
    <t>August 24, 2025</t>
  </si>
  <si>
    <t>Looked at on an annual basis, Fairfax’s investment returns have been very volatile.</t>
  </si>
  <si>
    <t>16-18</t>
  </si>
  <si>
    <t>19-21</t>
  </si>
  <si>
    <t>22-24</t>
  </si>
  <si>
    <t>Fairfax - Annual Return of Investment Portfolio - 2 Year Averages</t>
  </si>
  <si>
    <t>2017 to 2020</t>
  </si>
  <si>
    <t>2021 to 2024</t>
  </si>
  <si>
    <t>Fairfax - Annual Return of Investment Portfolio - 4 Year Average</t>
  </si>
  <si>
    <t>C$250 million Series G &amp; H</t>
  </si>
  <si>
    <t>C$420.5 million Series E, F &amp; M.</t>
  </si>
  <si>
    <t>Excess of Fair Value over Carrying Value for Non-insurance Associates and Consolidated Holdings</t>
  </si>
  <si>
    <t>Re/Insurance (excluding runoff)</t>
  </si>
  <si>
    <t>p162</t>
  </si>
  <si>
    <t>p124</t>
  </si>
  <si>
    <t>p103</t>
  </si>
  <si>
    <t>Underlying</t>
  </si>
  <si>
    <t>Headwind</t>
  </si>
  <si>
    <t>Tailwind</t>
  </si>
  <si>
    <t>A - B + C</t>
  </si>
  <si>
    <t>Increased by 230m (from 4,282 to 4,512m shares). Paid Rs 23.2/share</t>
  </si>
  <si>
    <t>John Keells #6</t>
  </si>
  <si>
    <t xml:space="preserve">Dec </t>
  </si>
  <si>
    <t>Installment 1 of 4</t>
  </si>
  <si>
    <t>Gulf Insurance Group #5</t>
  </si>
  <si>
    <t>Gulf Insurance Group #6</t>
  </si>
  <si>
    <t>Installment 2 of 4</t>
  </si>
  <si>
    <t>Second installment due 2 years after closing (Dec 2023).</t>
  </si>
  <si>
    <t>First installment due one year after closing (Dec 2023).</t>
  </si>
  <si>
    <t>FFH-Total Return Swaps</t>
  </si>
  <si>
    <t>4-Year Share Reduction</t>
  </si>
  <si>
    <t>4-Year Total</t>
  </si>
  <si>
    <t>Fairfax - Combining Share Repurchases with FFH-TRS</t>
  </si>
  <si>
    <t>5-Year CAGR</t>
  </si>
  <si>
    <t>Total ($b)</t>
  </si>
  <si>
    <t>Fairfax - NPW - Change From 2019 to 2024</t>
  </si>
  <si>
    <t>Estimate €170m x 32.3% = €54.9 x 1.18 = US$64.8m (€0.0466/share)</t>
  </si>
  <si>
    <t xml:space="preserve"> Consolidated</t>
  </si>
  <si>
    <t>Proceeds = $327.1m (cash = $284.1m + 16.1% stake in Sigma = $43m). Realized gain = 178.7m.</t>
  </si>
  <si>
    <t>Eurolife - Life Insurance</t>
  </si>
  <si>
    <t>Purchase of 45% from Eurobank.</t>
  </si>
  <si>
    <t>New purchase</t>
  </si>
  <si>
    <t>Sale of life insurance business to Eurobank. Keeping P/C insurance business.</t>
  </si>
  <si>
    <t>Eurobank's P/C ins bus in Cypress</t>
  </si>
  <si>
    <t>1H-2025</t>
  </si>
  <si>
    <t>Deferred Income Tax Liability</t>
  </si>
  <si>
    <t>Jun 30-2025</t>
  </si>
  <si>
    <t>5.5-Year Growth</t>
  </si>
  <si>
    <t>FFH - Total Return Swaps</t>
  </si>
  <si>
    <t>Q3-2025 Estimate</t>
  </si>
  <si>
    <t>Albinga</t>
  </si>
  <si>
    <t>First nine months</t>
  </si>
  <si>
    <t>Change in Revenue</t>
  </si>
  <si>
    <t>Pre-tax income (loss) before interest expense and other</t>
  </si>
  <si>
    <t>9 month</t>
  </si>
  <si>
    <t>2025 (1)</t>
  </si>
  <si>
    <t>2024 (2)</t>
  </si>
  <si>
    <t>(2) - Includes charges of $52m at Farmers Edge  and $67m at Grivalia Hospitality</t>
  </si>
  <si>
    <t>(1) - Includes impairment charge at Boat Rocker of $108.6 million in first 6 months</t>
  </si>
  <si>
    <t>(1) - Includes impairment charge at Boat Rocker</t>
  </si>
  <si>
    <t xml:space="preserve">        of $108.6 million in first 6 months</t>
  </si>
  <si>
    <t>Write</t>
  </si>
  <si>
    <t>Offs</t>
  </si>
  <si>
    <t>PTI +</t>
  </si>
  <si>
    <t>WO</t>
  </si>
  <si>
    <t>A + B</t>
  </si>
  <si>
    <t>Fairfax - Non-insurance Consolidated Companies - Operating Income</t>
  </si>
  <si>
    <t>Change in</t>
  </si>
  <si>
    <t>Pre-tax Income</t>
  </si>
  <si>
    <t>Average was $12 million from 2020 to 2023</t>
  </si>
  <si>
    <t xml:space="preserve"> Boat Rocker ($108.6)</t>
  </si>
  <si>
    <t>5-year revenue growth</t>
  </si>
  <si>
    <t>Fairfax - Non-insurance Consolidated Companies - 5-Year Transformation</t>
  </si>
  <si>
    <t xml:space="preserve"> 'One-time' losses/writedowns</t>
  </si>
  <si>
    <t xml:space="preserve"> Covid was a significant headwind for many of the companies</t>
  </si>
  <si>
    <t xml:space="preserve"> Covid remained a headwind</t>
  </si>
  <si>
    <t>Updated: Nov 12, 2025</t>
  </si>
  <si>
    <t>Nov 12, 2025</t>
  </si>
  <si>
    <t>Non-insurance consolidated comp.</t>
  </si>
  <si>
    <t>Change in ex of FV over CV (aft-tax)</t>
  </si>
  <si>
    <t>Nov 17, 2025</t>
  </si>
  <si>
    <t>3-Year Avg</t>
  </si>
  <si>
    <t>Fairfax Earnings</t>
  </si>
  <si>
    <t>From $4.78b at Dec 31 to $5.58b at Sept 30 = increase of $800m</t>
  </si>
  <si>
    <t>Interest and Dividend</t>
  </si>
  <si>
    <t>5-year Avg</t>
  </si>
  <si>
    <t>November 17, 2025</t>
  </si>
  <si>
    <t>Q3 QTD</t>
  </si>
  <si>
    <t>Fairfax - Investment Portfolio Returns</t>
  </si>
  <si>
    <t>Average investments</t>
  </si>
  <si>
    <t>Bond gains</t>
  </si>
  <si>
    <t>Bonds - Interest income</t>
  </si>
  <si>
    <t>Equities (including gains)</t>
  </si>
  <si>
    <t>5.39m share reduction to 35.4 million</t>
  </si>
  <si>
    <t>219,000 share addition to 5.119 million</t>
  </si>
  <si>
    <t>14,700 share reduction to 58,248.</t>
  </si>
  <si>
    <t>200,000 shares addition to 1.174 million</t>
  </si>
  <si>
    <t>239,000 share addition to 890,000</t>
  </si>
  <si>
    <t>MW Eat</t>
  </si>
  <si>
    <t>3 Indian Restaurants in London; very small purchase</t>
  </si>
  <si>
    <t>Fairfax: Big Movers in the Equity Portfolio</t>
  </si>
  <si>
    <t>5-Year Increase</t>
  </si>
  <si>
    <t>25m at C$17.64 = C$441m; still own 31.8m shares, $150m conv. notes (C$7.90), 17.5m warrants (C$11.50)</t>
  </si>
  <si>
    <t>C$300 million Series I &amp; J</t>
  </si>
  <si>
    <t>BAMI.TO</t>
  </si>
  <si>
    <t>Fairfax - 5-Year Reduction In Shares Outstanding</t>
  </si>
  <si>
    <t>YE (M)</t>
  </si>
  <si>
    <t>US$ B</t>
  </si>
  <si>
    <t>From 6.31m to 38.2m, increase of 31.9m @$4.60/share?</t>
  </si>
  <si>
    <t>Strathcona Resources</t>
  </si>
  <si>
    <t>C$10/share (Dec)</t>
  </si>
  <si>
    <t>Take Private Offer</t>
  </si>
  <si>
    <t>$10.25/sh (38% permium). Awaiting response from KW special committee.</t>
  </si>
  <si>
    <t>Fairfax will own 23% of the combined entity. Impairment charge of $108.6 during first 6 months.</t>
  </si>
  <si>
    <t>6-Year</t>
  </si>
  <si>
    <t>6-Yr CAGR</t>
  </si>
  <si>
    <t>Fairfax: Managing the Market Cycle</t>
  </si>
  <si>
    <t>6-Yr Avg</t>
  </si>
  <si>
    <t>6-Yr Increase</t>
  </si>
  <si>
    <t>How did Fairfax's investments perform in 2025?</t>
  </si>
  <si>
    <t>Fairfax - NICC</t>
  </si>
  <si>
    <t>Fairfax - 5-Yr Change in Interest Income</t>
  </si>
  <si>
    <t>$ (M)</t>
  </si>
  <si>
    <t>$ (B)</t>
  </si>
  <si>
    <t>5-Yr Increase</t>
  </si>
  <si>
    <t>YE Eff.</t>
  </si>
  <si>
    <t>W</t>
  </si>
  <si>
    <t>Dec 31, 2025 (US$ million)</t>
  </si>
  <si>
    <t>FFH.TO</t>
  </si>
  <si>
    <t>Total ex Top 30</t>
  </si>
  <si>
    <t>FFH Total Return Swaps</t>
  </si>
  <si>
    <t>All carrying values are at Dec 31, 2024 (consolidated) and Sept 30, 2025 (associates)</t>
  </si>
  <si>
    <t>Commercial International Bank</t>
  </si>
  <si>
    <t>Reduction in Effect Shares</t>
  </si>
  <si>
    <t>Total 2026</t>
  </si>
  <si>
    <t>2026</t>
  </si>
  <si>
    <t>Fairfax - 5-Year Trend in Float, Combine Ratio and Underwriting Profit</t>
  </si>
  <si>
    <t>$ (b)</t>
  </si>
  <si>
    <t>Underwriting Profit (m)</t>
  </si>
  <si>
    <t>Effective Shares (m)</t>
  </si>
  <si>
    <t>Total Portfolio at YE ($b)</t>
  </si>
  <si>
    <t>Total Return</t>
  </si>
  <si>
    <t>5-Year</t>
  </si>
  <si>
    <t>$m (1)</t>
  </si>
  <si>
    <t>% (2)</t>
  </si>
  <si>
    <t>(2) Return % is calculated using average investments</t>
  </si>
  <si>
    <t>Fairfax - Investments - 5-Year Review of Returns</t>
  </si>
  <si>
    <t>(1) Int &amp; div + share of prof of assoc + non-ins consol + inv gains + change in ex of FV over CV</t>
  </si>
  <si>
    <t>Pre-tax Income (1)</t>
  </si>
  <si>
    <t xml:space="preserve">   share of profit (loss) of associates and net gains (losses) on investments.</t>
  </si>
  <si>
    <t>Fairfax - Non-Insurance Consolidated Companies - Change in Pre-Tax Income</t>
  </si>
  <si>
    <t xml:space="preserve">* Pre-tax income before interest expense; excludes interest and dividends, </t>
  </si>
  <si>
    <t>$ (m)</t>
  </si>
  <si>
    <t>27 m shares x $6.00?/share from (38.2 to 65.0 m shares)</t>
  </si>
  <si>
    <t>Takout by Eldorado Gold</t>
  </si>
  <si>
    <t>Takeout</t>
  </si>
  <si>
    <t>AGT Foods and Ingredients</t>
  </si>
  <si>
    <t>Installment 3 of 4</t>
  </si>
  <si>
    <t>Third installment due 2 years after closing (Dec 2023).</t>
  </si>
  <si>
    <t>Gulf Insurance Group #7</t>
  </si>
  <si>
    <t xml:space="preserve">62.2m (54.6 + 9.6) @ C$.78/share = C$50m; plus 62.2m warrants at C$0.95/share </t>
  </si>
  <si>
    <t>https://finance.yahoo.com/news/cvw-sustainable-royalties-announces-50-120300004.html</t>
  </si>
  <si>
    <t>CVW Sustainable Royalties</t>
  </si>
  <si>
    <t>Increased by 188m (from 4,512 to 4700m shares). Paid Rs 23/share</t>
  </si>
  <si>
    <t>Feb 4, 2026 add</t>
  </si>
  <si>
    <t>https://www.ft.lk/front-page/Biggest-shareholder-Fairfax-invests-Rs-4-b-more-to-up-JKH-stake-by-1-to-26-5/44-787948</t>
  </si>
  <si>
    <t>John Keells Holdings #7</t>
  </si>
  <si>
    <t>Fairfax - Change in Shares Outstanding  - 2019 to 2025</t>
  </si>
  <si>
    <t xml:space="preserve"> Total Reduction</t>
  </si>
  <si>
    <t>Fairfax - 6-Year Reduction in Shares Outstanding</t>
  </si>
  <si>
    <t xml:space="preserve">    6-Year Total</t>
  </si>
  <si>
    <t>2011</t>
  </si>
  <si>
    <t>2012</t>
  </si>
  <si>
    <t>IPO  - and sale of 6% of position?</t>
  </si>
  <si>
    <t>Post IPO Fairfax owns ~60% of Digit</t>
  </si>
  <si>
    <t>Updated: Feb 23, 2026</t>
  </si>
  <si>
    <t>2027E</t>
  </si>
  <si>
    <t>February 24, 2026</t>
  </si>
  <si>
    <t>2018 to 2021</t>
  </si>
  <si>
    <t>4-Year Average Total Return</t>
  </si>
  <si>
    <t>Feb 24, 2026</t>
  </si>
  <si>
    <t>Fairfax - Rought Estimatte of Total Annual Return of the Investment Portfolio</t>
  </si>
  <si>
    <t>Total Investments per diluted share (YE)</t>
  </si>
  <si>
    <t>Total Investment Portfolio at YE ($b)</t>
  </si>
  <si>
    <t>2018 to 2021:</t>
  </si>
  <si>
    <t xml:space="preserve"> 2022 to 2025:</t>
  </si>
  <si>
    <t>Q4 '25 run rate = $646m</t>
  </si>
  <si>
    <t>Common Shareholder's Equity</t>
  </si>
  <si>
    <t>YE Book Value</t>
  </si>
  <si>
    <t>YE Comm Shareholders' Equity ($B)</t>
  </si>
  <si>
    <t>Q4 RR = $211m + new iss</t>
  </si>
  <si>
    <t>Adv devlop avg last 2 yrs</t>
  </si>
  <si>
    <t xml:space="preserve">'26=$700m; '27=$500m </t>
  </si>
  <si>
    <t>Decline '26 &amp; '27 ~3%/yr</t>
  </si>
  <si>
    <t>5-year avg: ~ $400m</t>
  </si>
  <si>
    <t>2026 &amp; 2027: 93.5%</t>
  </si>
  <si>
    <t>5-year avg: ~ $1.6b</t>
  </si>
  <si>
    <t>'26/27: EPSxYE sh count</t>
  </si>
  <si>
    <t>Range 22% to 25%</t>
  </si>
  <si>
    <t>Per diluted share (weighted avg)</t>
  </si>
  <si>
    <t>Per effective share (weighted avg)</t>
  </si>
  <si>
    <t>As reported on consol bal sheet</t>
  </si>
  <si>
    <t>Feb 25, 2026</t>
  </si>
  <si>
    <t>C$400 million (4.4% due 2035)</t>
  </si>
  <si>
    <t>C$250 million (5.1% due 2055)</t>
  </si>
  <si>
    <t>C$34.5M "Value Assurance Agreement" payment (source: Blue Ant Feb investor presentation</t>
  </si>
  <si>
    <t>Blue Ant Media</t>
  </si>
  <si>
    <t>"VAA" payment</t>
  </si>
  <si>
    <t>Cost: $69M. Q2 '26 close. Purchase of 45% from Eurobank.</t>
  </si>
  <si>
    <t>Proceeds: $945M. Q2 '26 close. Sale of life insurance business to Eurobank. Keeping P/C insurance business.</t>
  </si>
  <si>
    <t>$10.90/sh (45% premium). Supported by KW board - expected to close in Q2.</t>
  </si>
  <si>
    <t>Hafize Gaye Erkan</t>
  </si>
  <si>
    <t>President of Banking and Insurtech</t>
  </si>
  <si>
    <t>Past positions: Goldman Sachs &amp; Co, Co-CEO and President of First Republic Bank, Governor of the Central Bank of Turkey</t>
  </si>
  <si>
    <t>Digit - Life Insurance</t>
  </si>
  <si>
    <t>34% stake (from 2025AR)</t>
  </si>
  <si>
    <t>Digit - Valueattics Re</t>
  </si>
  <si>
    <t>65% stake (from 2025AR)</t>
  </si>
  <si>
    <t>From 215.5 to 237.9m shares. Price paid? Est US$1.85/share ($1.54 at 2024YE and $2.15 at 2025YE).</t>
  </si>
  <si>
    <t>Share buybacks by Eurobank = 1,178 - 1,169 = 9; Price paid? Est US$3.5/share</t>
  </si>
  <si>
    <t>SCR.TO</t>
  </si>
  <si>
    <t>Waterous-Strathcona</t>
  </si>
  <si>
    <t>Waterous-Greenfire</t>
  </si>
  <si>
    <t>GFR.TO</t>
  </si>
  <si>
    <t>Very rough estimate</t>
  </si>
  <si>
    <t>AGTF.TO</t>
  </si>
  <si>
    <t>AGT Foods &amp; Ingred.</t>
  </si>
  <si>
    <t>Post IPO - March 2026</t>
  </si>
  <si>
    <t>2025AR</t>
  </si>
  <si>
    <t>2025 IPO</t>
  </si>
  <si>
    <t>Q1 2026</t>
  </si>
  <si>
    <t>Waterous III - Greenfire</t>
  </si>
  <si>
    <t>Sponsor notes converted to equity</t>
  </si>
  <si>
    <t>Add to position - IPO private placement</t>
  </si>
  <si>
    <t>15.1M shares x C$22.50 = C$340M = US$ 249M</t>
  </si>
  <si>
    <t>8.7M shares x C$23.00 = C$200M = US$ 146M</t>
  </si>
  <si>
    <t>Q1-Mch 6</t>
  </si>
  <si>
    <t>Fairfax Shares Outstanding - Effective and Diluted</t>
  </si>
  <si>
    <t>$156M</t>
  </si>
  <si>
    <t>Fairfax: Shares Issued and Repurchased for Cancellation/Treasury (for compensation programs)</t>
  </si>
  <si>
    <t>9-Yr Avg</t>
  </si>
  <si>
    <t>Mar 31</t>
  </si>
  <si>
    <t>Orla Mining (incl CB &amp; warr)</t>
  </si>
  <si>
    <t>Fairfax: Performance of Equity Portfolio - QTD-Q2-2026</t>
  </si>
  <si>
    <t>Comercial International Bank</t>
  </si>
  <si>
    <t>EGO</t>
  </si>
  <si>
    <t>Eldorado Gold</t>
  </si>
  <si>
    <t>Foran take private closed Apr 14, 2026</t>
  </si>
  <si>
    <t>Waterous Energy Fund III (Greenfire)</t>
  </si>
  <si>
    <t>lows</t>
  </si>
  <si>
    <t>highs</t>
  </si>
  <si>
    <t>start</t>
  </si>
  <si>
    <t>finish</t>
  </si>
  <si>
    <t>Updated: April 30, 2026</t>
  </si>
  <si>
    <t>1H-2026</t>
  </si>
  <si>
    <t>Q1-26</t>
  </si>
  <si>
    <t>Q1-2026</t>
  </si>
  <si>
    <t>8.25-Year Change</t>
  </si>
  <si>
    <t>Fairfax - Effective Common Shares Outstanding – 8.25-Year Change</t>
  </si>
  <si>
    <t>Sporting Life Group Limited</t>
  </si>
  <si>
    <t>13F Mar 31, 2026</t>
  </si>
  <si>
    <t>Increased by 15.8m (from 67.3m to 51.5m shares). Paid $6.50/share?</t>
  </si>
  <si>
    <t>13F March 31, 2026</t>
  </si>
  <si>
    <t>Reduced by 9.2m (from 35.0m to 25.8m shares). Sold at $3.50/share?</t>
  </si>
  <si>
    <t>Sold 58,248 shares at $630/share?</t>
  </si>
  <si>
    <t>WEN</t>
  </si>
  <si>
    <t>Wendy's</t>
  </si>
  <si>
    <t>3.3m shares at $8.00/share?</t>
  </si>
  <si>
    <t>Sold 6.05m shares at $50/share?</t>
  </si>
  <si>
    <t>Orla Gold</t>
  </si>
  <si>
    <t>Diluted Shares Weighted Avg (m)</t>
  </si>
  <si>
    <t>5.25 Year</t>
  </si>
  <si>
    <t>Creation</t>
  </si>
  <si>
    <t>Avg/Yr</t>
  </si>
  <si>
    <t>5.25 Yr Change</t>
  </si>
  <si>
    <t>Ann Avg</t>
  </si>
  <si>
    <t>Excess of FV over CV for Non-Insurance Associate and Market Traded Consolidated Subisdiaries</t>
  </si>
  <si>
    <t>Page 16 2025AR</t>
  </si>
  <si>
    <t>Waterous EFund III</t>
  </si>
  <si>
    <t>Associates: Page 71</t>
  </si>
  <si>
    <t>Note: For 2025, Fairfax's disclosure's were rounded to $1 million… so details by company will not match summary exactly.</t>
  </si>
  <si>
    <t>March 31, 2026</t>
  </si>
  <si>
    <t>Note: For 2026, to keep the analysis comparable to prior years we needed to estimate amounts for wholly owned non-market traded consolidated holdings.</t>
  </si>
  <si>
    <t>December 31, 2025</t>
  </si>
  <si>
    <t>Associate &amp; Consoldated Companies</t>
  </si>
  <si>
    <t>Fairfax: Non-insurance</t>
  </si>
  <si>
    <t>Annual</t>
  </si>
  <si>
    <t>5.25 Year Change</t>
  </si>
  <si>
    <t>Per Year</t>
  </si>
  <si>
    <t>Diluted shares Mar 31, 2026</t>
  </si>
  <si>
    <t>Atlas</t>
  </si>
  <si>
    <t>Restaurants &amp; other</t>
  </si>
  <si>
    <t>Other (Dexterra, Boat Rocker, Farmers Edge)</t>
  </si>
  <si>
    <t>Total Non-ins Assoc</t>
  </si>
  <si>
    <t>Total Non-ins Consol</t>
  </si>
  <si>
    <t>(1) The fair values and adjusted carrying values of non-insurance associates represent their fair values and carrying</t>
  </si>
  <si>
    <t>values as presented in note 6 (Investments in Associates) to the consolidated financial statements for the year ended</t>
  </si>
  <si>
    <t>December 31, 2025, and excludes investments in associates held by Fairfax India (including Bangalore Airport),</t>
  </si>
  <si>
    <t>Thomas Cook India (including its share of Quess), Dexterra Group and Boat Rocker (deconsolidated on August 1,</t>
  </si>
  <si>
    <t>2025).</t>
  </si>
  <si>
    <t>(2) The fair values of the company’s investments in market traded non-insurance companies – Fairfax India, Thomas</t>
  </si>
  <si>
    <t>Cook India, Dexterra Group and Boat Rocker (deconsolidated on August 1, 2025) – are calculated as the company’s</t>
  </si>
  <si>
    <t>pro rata ownership share of each subsidiary’s market capitalization, as determined by traded share prices at the</t>
  </si>
  <si>
    <t>financial statement date. The adjusted carrying value of each subsidiary represents its total equity as included in the</t>
  </si>
  <si>
    <t>company’s consolidated financial statements for the year ended December 31, 2025, less the subsidiary’s</t>
  </si>
  <si>
    <t>non-controlling interests as included in note 16 (Total Equity) to those consolidated financial statements.</t>
  </si>
  <si>
    <t>(3) Includes Dexterra Group, and also Boat Rocker at December 31, 2024.</t>
  </si>
  <si>
    <t>Excess (deficiency) of fair value over carrying value</t>
  </si>
  <si>
    <t>The table below presents the pre-tax excess (deficiency) of fair value over carrying value of investments in non-</t>
  </si>
  <si>
    <t>insurance associates and market traded consolidated non-insurance subsidiaries the company considers to be</t>
  </si>
  <si>
    <t>portfolio investments. Those amounts, while not included in the calculation of book value per basic share, are</t>
  </si>
  <si>
    <t>regularly reviewed by management as an indicator of investment performance.The aggregate pre-tax excess of fair</t>
  </si>
  <si>
    <t>value over carrying value of these investments at December 31, 2025 was $3,139.6 compared to $1,480.5 at</t>
  </si>
  <si>
    <t>December31,2024,with$1,426.1ofthatincreaserelatedtothecompany’sinvestmentinpubliclytradedEurobank.</t>
  </si>
  <si>
    <t>Fairfax: Non-insurance Associate and</t>
  </si>
  <si>
    <t xml:space="preserve"> Market Traded Consolidated Companies</t>
  </si>
  <si>
    <t>May 29, 2026</t>
  </si>
  <si>
    <t>May 29</t>
  </si>
  <si>
    <t>QTD-Q2-2026 (to May 29)</t>
  </si>
  <si>
    <t>AGT Foods &amp; Ingredients</t>
  </si>
  <si>
    <t>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</si>
</sst>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
    <numFmt numFmtId="168" formatCode="_(&quot;$&quot;* #,##0.000_);_(&quot;$&quot;* \(#,##0.000\);_(&quot;$&quot;* &quot;-&quot;??_);_(@_)"/>
    <numFmt numFmtId="169" formatCode="&quot;$&quot;#,##0"/>
    <numFmt numFmtId="170" formatCode="&quot;$&quot;#,##0.00"/>
    <numFmt numFmtId="171" formatCode="_([$€-2]\ * #,##0.00_);_([$€-2]\ * \(#,##0.00\);_([$€-2]\ * &quot;-&quot;??_);_(@_)"/>
    <numFmt numFmtId="172" formatCode="0.000"/>
    <numFmt numFmtId="173" formatCode="#,##0.000"/>
    <numFmt numFmtId="174" formatCode="_([$€-2]\ * #,##0.000_);_([$€-2]\ * \(#,##0.000\);_([$€-2]\ * &quot;-&quot;??_);_(@_)"/>
    <numFmt numFmtId="175" formatCode="&quot;$&quot;#,##0.0"/>
    <numFmt numFmtId="176" formatCode="#,##0.0"/>
    <numFmt numFmtId="177" formatCode="&quot;$&quot;#,##0.000"/>
    <numFmt numFmtId="178" formatCode="_ [$₹-4009]\ * #,##0.0_ ;_ [$₹-4009]\ * \-#,##0.0_ ;_ [$₹-4009]\ * &quot;-&quot;??_ ;_ @_ "/>
    <numFmt numFmtId="179" formatCode="[$₹-4009]\ #,##0.00;[$₹-4009]\ \-#,##0.00"/>
    <numFmt numFmtId="180" formatCode="[$€-2]\ #,##0;[Red]\-[$€-2]\ #,##0"/>
    <numFmt numFmtId="181" formatCode="[$$-409]#,##0"/>
    <numFmt numFmtId="182" formatCode="_(&quot;$&quot;* #,##0.0_);_(&quot;$&quot;* \(#,##0.0\);_(&quot;$&quot;* &quot;-&quot;??_);_(@_)"/>
    <numFmt numFmtId="183" formatCode="0.000%"/>
    <numFmt numFmtId="184" formatCode="_ [$₹-4009]\ * #,##0.00_ ;_ [$₹-4009]\ * \-#,##0.00_ ;_ [$₹-4009]\ * &quot;-&quot;??_ ;_ @_ "/>
  </numFmts>
  <fonts count="46">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b/>
      <u/>
      <sz val="12"/>
      <color theme="1"/>
      <name val="Calibri"/>
      <family val="2"/>
      <scheme val="minor"/>
    </font>
    <font>
      <u/>
      <sz val="12"/>
      <color theme="10"/>
      <name val="Calibri"/>
      <family val="2"/>
      <scheme val="minor"/>
    </font>
    <font>
      <u/>
      <sz val="12"/>
      <color theme="11"/>
      <name val="Calibri"/>
      <family val="2"/>
      <scheme val="minor"/>
    </font>
    <font>
      <b/>
      <u/>
      <sz val="16"/>
      <color theme="1"/>
      <name val="Calibri"/>
      <family val="2"/>
      <scheme val="minor"/>
    </font>
    <font>
      <sz val="8"/>
      <name val="Calibri"/>
      <family val="2"/>
      <scheme val="minor"/>
    </font>
    <font>
      <b/>
      <u/>
      <sz val="20"/>
      <color theme="1"/>
      <name val="Calibri"/>
      <family val="2"/>
      <scheme val="minor"/>
    </font>
    <font>
      <sz val="12"/>
      <color rgb="FF000000"/>
      <name val="Calibri"/>
      <family val="2"/>
      <scheme val="minor"/>
    </font>
    <font>
      <b/>
      <sz val="12"/>
      <color rgb="FF000000"/>
      <name val="Calibri"/>
      <family val="2"/>
      <scheme val="minor"/>
    </font>
    <font>
      <sz val="12"/>
      <name val="Calibri"/>
      <family val="2"/>
      <scheme val="minor"/>
    </font>
    <font>
      <b/>
      <sz val="16"/>
      <color theme="1"/>
      <name val="Calibri"/>
      <family val="2"/>
      <scheme val="minor"/>
    </font>
    <font>
      <b/>
      <sz val="10"/>
      <color rgb="FF000000"/>
      <name val="Calibri"/>
      <family val="2"/>
      <scheme val="minor"/>
    </font>
    <font>
      <sz val="10"/>
      <color rgb="FF000000"/>
      <name val="Calibri"/>
      <family val="2"/>
      <scheme val="minor"/>
    </font>
    <font>
      <sz val="12"/>
      <color rgb="FF212529"/>
      <name val="Calibri"/>
      <family val="2"/>
    </font>
    <font>
      <sz val="10"/>
      <color theme="1"/>
      <name val="Calibri (Body)"/>
    </font>
    <font>
      <b/>
      <u/>
      <sz val="14"/>
      <color theme="1"/>
      <name val="Calibri"/>
      <family val="2"/>
      <scheme val="minor"/>
    </font>
    <font>
      <sz val="12"/>
      <color rgb="FF333333"/>
      <name val="Calibri"/>
      <family val="2"/>
    </font>
    <font>
      <sz val="12"/>
      <color rgb="FF000000"/>
      <name val="Calibri"/>
      <family val="2"/>
    </font>
    <font>
      <b/>
      <sz val="10"/>
      <color theme="1"/>
      <name val="Calibri"/>
      <family val="2"/>
      <scheme val="minor"/>
    </font>
    <font>
      <sz val="10"/>
      <color theme="1"/>
      <name val="Calibri"/>
      <family val="2"/>
      <scheme val="minor"/>
    </font>
    <font>
      <sz val="12"/>
      <color theme="1"/>
      <name val="Calibri"/>
      <family val="2"/>
    </font>
    <font>
      <i/>
      <sz val="13"/>
      <color theme="1"/>
      <name val="Calibri"/>
      <family val="2"/>
    </font>
    <font>
      <sz val="13"/>
      <color theme="1"/>
      <name val="Calibri"/>
      <family val="2"/>
    </font>
    <font>
      <b/>
      <sz val="10"/>
      <color rgb="FF353535"/>
      <name val="Calibri"/>
      <family val="2"/>
      <scheme val="minor"/>
    </font>
    <font>
      <sz val="12"/>
      <color rgb="FF353535"/>
      <name val="Calibri"/>
      <family val="2"/>
      <scheme val="minor"/>
    </font>
    <font>
      <sz val="12"/>
      <color theme="1"/>
      <name val="Calibri (Body)"/>
    </font>
    <font>
      <b/>
      <sz val="12"/>
      <color theme="1"/>
      <name val="Calibri (Body)"/>
    </font>
    <font>
      <sz val="13"/>
      <color theme="1"/>
      <name val="Helvetica Neue"/>
      <family val="2"/>
    </font>
    <font>
      <b/>
      <sz val="14"/>
      <color theme="1"/>
      <name val="Calibri"/>
      <family val="2"/>
      <scheme val="minor"/>
    </font>
    <font>
      <b/>
      <sz val="12"/>
      <color rgb="FF353535"/>
      <name val="Calibri"/>
      <family val="2"/>
      <scheme val="minor"/>
    </font>
    <font>
      <i/>
      <sz val="12"/>
      <color theme="1"/>
      <name val="Calibri"/>
      <family val="2"/>
      <scheme val="minor"/>
    </font>
    <font>
      <b/>
      <i/>
      <sz val="9"/>
      <color theme="1"/>
      <name val="ITCGaramondStd"/>
    </font>
    <font>
      <sz val="9"/>
      <color theme="1"/>
      <name val="ITCGaramondStd"/>
    </font>
    <font>
      <b/>
      <sz val="9"/>
      <color theme="1"/>
      <name val="ITCGaramondStd"/>
    </font>
    <font>
      <b/>
      <sz val="11"/>
      <color theme="1"/>
      <name val="Calibri"/>
      <family val="2"/>
      <scheme val="minor"/>
    </font>
  </fonts>
  <fills count="3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rgb="FFFDE9D9"/>
        <bgColor rgb="FF000000"/>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rgb="FFBFC5EB"/>
        <bgColor indexed="64"/>
      </patternFill>
    </fill>
    <fill>
      <patternFill patternType="solid">
        <fgColor rgb="FFB2FFC5"/>
        <bgColor indexed="64"/>
      </patternFill>
    </fill>
    <fill>
      <patternFill patternType="solid">
        <fgColor rgb="FFF5FFC5"/>
        <bgColor indexed="64"/>
      </patternFill>
    </fill>
    <fill>
      <patternFill patternType="solid">
        <fgColor theme="7" tint="0.39997558519241921"/>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rgb="FFB7DEE8"/>
        <bgColor rgb="FF000000"/>
      </patternFill>
    </fill>
    <fill>
      <patternFill patternType="solid">
        <fgColor rgb="FFF5FFC5"/>
        <bgColor rgb="FF000000"/>
      </patternFill>
    </fill>
    <fill>
      <patternFill patternType="solid">
        <fgColor rgb="FFE6B8B7"/>
        <bgColor rgb="FF000000"/>
      </patternFill>
    </fill>
    <fill>
      <patternFill patternType="solid">
        <fgColor theme="6" tint="0.39997558519241921"/>
        <bgColor indexed="64"/>
      </patternFill>
    </fill>
    <fill>
      <patternFill patternType="solid">
        <fgColor theme="2" tint="-0.249977111117893"/>
        <bgColor indexed="64"/>
      </patternFill>
    </fill>
  </fills>
  <borders count="10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medium">
        <color auto="1"/>
      </left>
      <right/>
      <top style="thin">
        <color auto="1"/>
      </top>
      <bottom/>
      <diagonal/>
    </border>
    <border>
      <left/>
      <right style="medium">
        <color auto="1"/>
      </right>
      <top style="thin">
        <color auto="1"/>
      </top>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style="medium">
        <color auto="1"/>
      </top>
      <bottom style="medium">
        <color auto="1"/>
      </bottom>
      <diagonal/>
    </border>
    <border>
      <left/>
      <right style="thin">
        <color rgb="FF000000"/>
      </right>
      <top style="thin">
        <color auto="1"/>
      </top>
      <bottom style="thin">
        <color auto="1"/>
      </bottom>
      <diagonal/>
    </border>
    <border>
      <left/>
      <right/>
      <top style="thin">
        <color theme="1"/>
      </top>
      <bottom style="dotted">
        <color theme="1"/>
      </bottom>
      <diagonal/>
    </border>
    <border>
      <left style="thin">
        <color auto="1"/>
      </left>
      <right/>
      <top style="thin">
        <color theme="1"/>
      </top>
      <bottom style="dotted">
        <color theme="1"/>
      </bottom>
      <diagonal/>
    </border>
    <border>
      <left style="thin">
        <color auto="1"/>
      </left>
      <right style="thin">
        <color theme="1"/>
      </right>
      <top style="thin">
        <color theme="1"/>
      </top>
      <bottom style="dotted">
        <color theme="1"/>
      </bottom>
      <diagonal/>
    </border>
    <border>
      <left style="thin">
        <color theme="1"/>
      </left>
      <right/>
      <top/>
      <bottom style="thin">
        <color theme="1"/>
      </bottom>
      <diagonal/>
    </border>
    <border>
      <left/>
      <right/>
      <top/>
      <bottom style="thin">
        <color theme="1"/>
      </bottom>
      <diagonal/>
    </border>
    <border>
      <left style="thin">
        <color auto="1"/>
      </left>
      <right/>
      <top/>
      <bottom style="thin">
        <color theme="1"/>
      </bottom>
      <diagonal/>
    </border>
    <border>
      <left style="thin">
        <color auto="1"/>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auto="1"/>
      </right>
      <top style="thin">
        <color theme="1"/>
      </top>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style="thin">
        <color theme="1"/>
      </top>
      <bottom style="thin">
        <color theme="1"/>
      </bottom>
      <diagonal/>
    </border>
    <border>
      <left style="thin">
        <color theme="1"/>
      </left>
      <right/>
      <top/>
      <bottom/>
      <diagonal/>
    </border>
    <border>
      <left/>
      <right style="thin">
        <color theme="1"/>
      </right>
      <top/>
      <bottom/>
      <diagonal/>
    </border>
    <border>
      <left style="thin">
        <color theme="1"/>
      </left>
      <right style="thin">
        <color theme="1"/>
      </right>
      <top style="thin">
        <color theme="1"/>
      </top>
      <bottom style="thin">
        <color theme="1"/>
      </bottom>
      <diagonal/>
    </border>
    <border>
      <left style="thin">
        <color theme="1"/>
      </left>
      <right style="thin">
        <color auto="1"/>
      </right>
      <top/>
      <bottom/>
      <diagonal/>
    </border>
    <border>
      <left style="thin">
        <color theme="1"/>
      </left>
      <right style="thin">
        <color auto="1"/>
      </right>
      <top style="thin">
        <color auto="1"/>
      </top>
      <bottom style="thin">
        <color auto="1"/>
      </bottom>
      <diagonal/>
    </border>
    <border>
      <left style="thin">
        <color auto="1"/>
      </left>
      <right style="thin">
        <color theme="1"/>
      </right>
      <top style="thin">
        <color auto="1"/>
      </top>
      <bottom style="thin">
        <color auto="1"/>
      </bottom>
      <diagonal/>
    </border>
    <border>
      <left style="thin">
        <color theme="1"/>
      </left>
      <right style="thin">
        <color auto="1"/>
      </right>
      <top style="thin">
        <color auto="1"/>
      </top>
      <bottom style="thin">
        <color theme="1"/>
      </bottom>
      <diagonal/>
    </border>
    <border>
      <left style="thin">
        <color auto="1"/>
      </left>
      <right style="thin">
        <color auto="1"/>
      </right>
      <top style="thin">
        <color auto="1"/>
      </top>
      <bottom style="thin">
        <color theme="1"/>
      </bottom>
      <diagonal/>
    </border>
    <border>
      <left style="thin">
        <color auto="1"/>
      </left>
      <right style="thin">
        <color theme="1"/>
      </right>
      <top style="thin">
        <color auto="1"/>
      </top>
      <bottom style="thin">
        <color theme="1"/>
      </bottom>
      <diagonal/>
    </border>
    <border>
      <left style="thin">
        <color theme="1"/>
      </left>
      <right style="thin">
        <color theme="1"/>
      </right>
      <top/>
      <bottom/>
      <diagonal/>
    </border>
    <border>
      <left style="thin">
        <color theme="1"/>
      </left>
      <right style="thin">
        <color auto="1"/>
      </right>
      <top style="thin">
        <color theme="1"/>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dotted">
        <color theme="1"/>
      </bottom>
      <diagonal/>
    </border>
    <border>
      <left style="thin">
        <color auto="1"/>
      </left>
      <right/>
      <top/>
      <bottom style="dotted">
        <color theme="1"/>
      </bottom>
      <diagonal/>
    </border>
    <border>
      <left style="thin">
        <color auto="1"/>
      </left>
      <right style="thin">
        <color theme="1"/>
      </right>
      <top/>
      <bottom style="dotted">
        <color theme="1"/>
      </bottom>
      <diagonal/>
    </border>
    <border>
      <left style="thin">
        <color auto="1"/>
      </left>
      <right style="thin">
        <color theme="1"/>
      </right>
      <top/>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auto="1"/>
      </right>
      <top style="thin">
        <color auto="1"/>
      </top>
      <bottom style="thin">
        <color auto="1"/>
      </bottom>
      <diagonal/>
    </border>
    <border>
      <left style="thin">
        <color theme="1"/>
      </left>
      <right style="medium">
        <color indexed="64"/>
      </right>
      <top style="thin">
        <color theme="1"/>
      </top>
      <bottom style="thin">
        <color theme="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thin">
        <color theme="1"/>
      </left>
      <right style="thin">
        <color auto="1"/>
      </right>
      <top style="thin">
        <color auto="1"/>
      </top>
      <bottom/>
      <diagonal/>
    </border>
    <border>
      <left style="thin">
        <color auto="1"/>
      </left>
      <right style="thin">
        <color theme="1"/>
      </right>
      <top style="thin">
        <color auto="1"/>
      </top>
      <bottom/>
      <diagonal/>
    </border>
    <border>
      <left style="thin">
        <color theme="1"/>
      </left>
      <right/>
      <top style="thin">
        <color theme="1"/>
      </top>
      <bottom style="thin">
        <color auto="1"/>
      </bottom>
      <diagonal/>
    </border>
    <border>
      <left/>
      <right/>
      <top style="thin">
        <color theme="1"/>
      </top>
      <bottom style="thin">
        <color auto="1"/>
      </bottom>
      <diagonal/>
    </border>
    <border>
      <left/>
      <right style="thin">
        <color theme="1"/>
      </right>
      <top style="thin">
        <color theme="1"/>
      </top>
      <bottom style="thin">
        <color auto="1"/>
      </bottom>
      <diagonal/>
    </border>
    <border>
      <left style="thin">
        <color theme="1"/>
      </left>
      <right/>
      <top style="thin">
        <color auto="1"/>
      </top>
      <bottom style="thin">
        <color theme="1"/>
      </bottom>
      <diagonal/>
    </border>
    <border>
      <left style="thin">
        <color theme="1"/>
      </left>
      <right/>
      <top style="thin">
        <color auto="1"/>
      </top>
      <bottom style="thin">
        <color auto="1"/>
      </bottom>
      <diagonal/>
    </border>
    <border>
      <left style="thin">
        <color theme="1"/>
      </left>
      <right/>
      <top style="thin">
        <color auto="1"/>
      </top>
      <bottom/>
      <diagonal/>
    </border>
    <border>
      <left style="thin">
        <color theme="1"/>
      </left>
      <right style="thin">
        <color auto="1"/>
      </right>
      <top/>
      <bottom style="thin">
        <color auto="1"/>
      </bottom>
      <diagonal/>
    </border>
    <border>
      <left style="thin">
        <color auto="1"/>
      </left>
      <right style="thin">
        <color auto="1"/>
      </right>
      <top/>
      <bottom style="medium">
        <color indexed="64"/>
      </bottom>
      <diagonal/>
    </border>
    <border>
      <left/>
      <right/>
      <top/>
      <bottom style="medium">
        <color indexed="64"/>
      </bottom>
      <diagonal/>
    </border>
    <border>
      <left/>
      <right style="thin">
        <color auto="1"/>
      </right>
      <top style="thin">
        <color auto="1"/>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style="thin">
        <color auto="1"/>
      </bottom>
      <diagonal/>
    </border>
    <border>
      <left style="thin">
        <color auto="1"/>
      </left>
      <right style="medium">
        <color indexed="64"/>
      </right>
      <top style="medium">
        <color indexed="64"/>
      </top>
      <bottom style="medium">
        <color indexed="64"/>
      </bottom>
      <diagonal/>
    </border>
  </borders>
  <cellStyleXfs count="463">
    <xf numFmtId="0" fontId="0" fillId="0" borderId="0"/>
    <xf numFmtId="44" fontId="10" fillId="0" borderId="0" applyFon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43" fontId="9" fillId="0" borderId="0" applyFon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9" fontId="8" fillId="0" borderId="0" applyFon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3" fillId="0" borderId="0" applyNumberFormat="0" applyFill="0" applyBorder="0" applyAlignment="0" applyProtection="0"/>
  </cellStyleXfs>
  <cellXfs count="2173">
    <xf numFmtId="0" fontId="0" fillId="0" borderId="0" xfId="0"/>
    <xf numFmtId="0" fontId="12" fillId="0" borderId="0" xfId="0" applyFont="1"/>
    <xf numFmtId="16" fontId="11" fillId="0" borderId="0" xfId="0" applyNumberFormat="1" applyFont="1" applyAlignment="1">
      <alignment horizontal="center"/>
    </xf>
    <xf numFmtId="164" fontId="0" fillId="0" borderId="0" xfId="1" applyNumberFormat="1" applyFont="1"/>
    <xf numFmtId="0" fontId="15" fillId="0" borderId="0" xfId="0" applyFont="1"/>
    <xf numFmtId="44" fontId="0" fillId="0" borderId="0" xfId="1" applyFont="1" applyAlignment="1">
      <alignment horizontal="center"/>
    </xf>
    <xf numFmtId="164" fontId="0" fillId="0" borderId="0" xfId="1" applyNumberFormat="1" applyFont="1" applyAlignment="1"/>
    <xf numFmtId="0" fontId="0" fillId="0" borderId="0" xfId="0" applyAlignment="1">
      <alignment horizontal="left"/>
    </xf>
    <xf numFmtId="164" fontId="11" fillId="0" borderId="0" xfId="1" applyNumberFormat="1" applyFont="1" applyAlignment="1"/>
    <xf numFmtId="0" fontId="11" fillId="0" borderId="0" xfId="0" applyFont="1" applyAlignment="1">
      <alignment horizontal="left"/>
    </xf>
    <xf numFmtId="165" fontId="0" fillId="0" borderId="0" xfId="14" applyNumberFormat="1" applyFont="1"/>
    <xf numFmtId="0" fontId="11" fillId="0" borderId="0" xfId="0" applyFont="1"/>
    <xf numFmtId="164" fontId="11" fillId="0" borderId="0" xfId="1" applyNumberFormat="1" applyFont="1"/>
    <xf numFmtId="167" fontId="0" fillId="0" borderId="0" xfId="21" applyNumberFormat="1" applyFont="1"/>
    <xf numFmtId="0" fontId="0" fillId="0" borderId="1" xfId="0" applyBorder="1" applyAlignment="1">
      <alignment horizontal="center"/>
    </xf>
    <xf numFmtId="0" fontId="0" fillId="0" borderId="2" xfId="0" applyBorder="1" applyAlignment="1">
      <alignment horizontal="center"/>
    </xf>
    <xf numFmtId="164" fontId="0" fillId="0" borderId="2" xfId="1" applyNumberFormat="1" applyFont="1" applyBorder="1"/>
    <xf numFmtId="164" fontId="0" fillId="0" borderId="2" xfId="1" applyNumberFormat="1" applyFont="1" applyBorder="1" applyAlignment="1"/>
    <xf numFmtId="0" fontId="0" fillId="0" borderId="3" xfId="0" applyBorder="1"/>
    <xf numFmtId="0" fontId="0" fillId="0" borderId="4" xfId="0" applyBorder="1" applyAlignment="1">
      <alignment horizontal="center"/>
    </xf>
    <xf numFmtId="0" fontId="0" fillId="0" borderId="5" xfId="0" applyBorder="1" applyAlignment="1">
      <alignment horizontal="center"/>
    </xf>
    <xf numFmtId="164" fontId="0" fillId="0" borderId="5" xfId="1" applyNumberFormat="1" applyFont="1" applyBorder="1" applyAlignment="1"/>
    <xf numFmtId="164" fontId="0" fillId="0" borderId="5" xfId="1" applyNumberFormat="1" applyFont="1" applyBorder="1"/>
    <xf numFmtId="0" fontId="0" fillId="0" borderId="6" xfId="0" applyBorder="1"/>
    <xf numFmtId="0" fontId="0" fillId="0" borderId="2" xfId="0" applyBorder="1"/>
    <xf numFmtId="0" fontId="0" fillId="0" borderId="5" xfId="0" applyBorder="1"/>
    <xf numFmtId="0" fontId="0" fillId="0" borderId="7" xfId="0" applyBorder="1" applyAlignment="1">
      <alignment horizontal="center"/>
    </xf>
    <xf numFmtId="0" fontId="0" fillId="0" borderId="8" xfId="0" applyBorder="1" applyAlignment="1">
      <alignment horizontal="center"/>
    </xf>
    <xf numFmtId="0" fontId="0" fillId="0" borderId="9" xfId="0" applyBorder="1"/>
    <xf numFmtId="167" fontId="11" fillId="0" borderId="0" xfId="21" applyNumberFormat="1" applyFont="1"/>
    <xf numFmtId="0" fontId="0" fillId="0" borderId="0" xfId="0" applyAlignment="1">
      <alignment horizontal="center"/>
    </xf>
    <xf numFmtId="166" fontId="0" fillId="0" borderId="0" xfId="0" applyNumberFormat="1" applyAlignment="1">
      <alignment horizontal="center"/>
    </xf>
    <xf numFmtId="1" fontId="0" fillId="0" borderId="0" xfId="0" applyNumberFormat="1" applyAlignment="1">
      <alignment horizontal="center"/>
    </xf>
    <xf numFmtId="44" fontId="0" fillId="0" borderId="0" xfId="0" applyNumberFormat="1" applyAlignment="1">
      <alignment horizontal="center"/>
    </xf>
    <xf numFmtId="0" fontId="12" fillId="0" borderId="0" xfId="0" applyFont="1" applyAlignment="1">
      <alignment horizontal="center"/>
    </xf>
    <xf numFmtId="0" fontId="15" fillId="0" borderId="0" xfId="0" applyFont="1" applyAlignment="1">
      <alignment horizontal="center"/>
    </xf>
    <xf numFmtId="9" fontId="0" fillId="0" borderId="0" xfId="21" applyFont="1" applyAlignment="1">
      <alignment horizontal="center"/>
    </xf>
    <xf numFmtId="167" fontId="0" fillId="0" borderId="0" xfId="21" applyNumberFormat="1" applyFont="1" applyFill="1" applyBorder="1" applyAlignment="1">
      <alignment horizontal="center"/>
    </xf>
    <xf numFmtId="44" fontId="11" fillId="0" borderId="0" xfId="1" applyFont="1" applyAlignment="1">
      <alignment horizontal="center"/>
    </xf>
    <xf numFmtId="0" fontId="11" fillId="0" borderId="10" xfId="0" applyFont="1"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0" fontId="11" fillId="0" borderId="0" xfId="0" applyFont="1" applyAlignment="1">
      <alignment horizontal="center"/>
    </xf>
    <xf numFmtId="44" fontId="0" fillId="0" borderId="10" xfId="1" applyFont="1" applyFill="1" applyBorder="1" applyAlignment="1">
      <alignment horizontal="center"/>
    </xf>
    <xf numFmtId="166" fontId="0" fillId="0" borderId="10" xfId="0" applyNumberFormat="1" applyBorder="1" applyAlignment="1">
      <alignment horizontal="center"/>
    </xf>
    <xf numFmtId="0" fontId="0" fillId="0" borderId="10" xfId="0" applyBorder="1" applyAlignment="1">
      <alignment horizontal="center"/>
    </xf>
    <xf numFmtId="0" fontId="0" fillId="0" borderId="10" xfId="0" applyBorder="1"/>
    <xf numFmtId="0" fontId="11" fillId="0" borderId="10" xfId="0" applyFont="1" applyBorder="1"/>
    <xf numFmtId="0" fontId="11" fillId="0" borderId="7" xfId="0" applyFont="1" applyBorder="1"/>
    <xf numFmtId="0" fontId="0" fillId="0" borderId="9" xfId="0" applyBorder="1" applyAlignment="1">
      <alignment horizontal="center"/>
    </xf>
    <xf numFmtId="0" fontId="0" fillId="0" borderId="7" xfId="0" applyBorder="1"/>
    <xf numFmtId="0" fontId="11" fillId="0" borderId="13" xfId="0" applyFont="1" applyBorder="1" applyAlignment="1">
      <alignment horizontal="center"/>
    </xf>
    <xf numFmtId="0" fontId="0" fillId="3" borderId="0" xfId="0" applyFill="1"/>
    <xf numFmtId="169" fontId="0" fillId="0" borderId="0" xfId="0" applyNumberFormat="1"/>
    <xf numFmtId="169" fontId="11" fillId="0" borderId="0" xfId="0" applyNumberFormat="1" applyFont="1" applyAlignment="1">
      <alignment horizontal="center"/>
    </xf>
    <xf numFmtId="0" fontId="17" fillId="0" borderId="0" xfId="0" applyFont="1"/>
    <xf numFmtId="0" fontId="0" fillId="0" borderId="12" xfId="0" applyBorder="1"/>
    <xf numFmtId="169" fontId="0" fillId="0" borderId="2" xfId="0" applyNumberFormat="1" applyBorder="1"/>
    <xf numFmtId="0" fontId="0" fillId="0" borderId="14" xfId="0" applyBorder="1" applyAlignment="1">
      <alignment horizontal="center"/>
    </xf>
    <xf numFmtId="9" fontId="0" fillId="0" borderId="0" xfId="21" applyFont="1" applyBorder="1" applyAlignment="1">
      <alignment horizontal="center"/>
    </xf>
    <xf numFmtId="0" fontId="0" fillId="0" borderId="15" xfId="0" applyBorder="1"/>
    <xf numFmtId="169" fontId="0" fillId="0" borderId="5" xfId="0" applyNumberFormat="1" applyBorder="1"/>
    <xf numFmtId="0" fontId="0" fillId="0" borderId="0" xfId="0" applyAlignment="1">
      <alignment horizontal="right"/>
    </xf>
    <xf numFmtId="0" fontId="0" fillId="0" borderId="8" xfId="0" applyBorder="1"/>
    <xf numFmtId="169" fontId="0" fillId="0" borderId="8" xfId="0" applyNumberFormat="1" applyBorder="1"/>
    <xf numFmtId="9" fontId="0" fillId="0" borderId="15" xfId="21" applyFont="1" applyBorder="1" applyAlignment="1">
      <alignment horizontal="center"/>
    </xf>
    <xf numFmtId="0" fontId="0" fillId="0" borderId="14" xfId="0" applyBorder="1" applyAlignment="1">
      <alignment horizontal="left"/>
    </xf>
    <xf numFmtId="9" fontId="0" fillId="0" borderId="15" xfId="21" applyFont="1" applyBorder="1"/>
    <xf numFmtId="9" fontId="11" fillId="0" borderId="6" xfId="21" applyFont="1" applyBorder="1"/>
    <xf numFmtId="0" fontId="0" fillId="0" borderId="13" xfId="0" applyBorder="1"/>
    <xf numFmtId="167" fontId="0" fillId="0" borderId="13" xfId="21" applyNumberFormat="1" applyFont="1" applyBorder="1"/>
    <xf numFmtId="0" fontId="11" fillId="0" borderId="14" xfId="0" applyFont="1" applyBorder="1" applyAlignment="1">
      <alignment horizontal="center"/>
    </xf>
    <xf numFmtId="0" fontId="11" fillId="0" borderId="15" xfId="0" applyFont="1" applyBorder="1" applyAlignment="1">
      <alignment horizontal="center"/>
    </xf>
    <xf numFmtId="0" fontId="0" fillId="0" borderId="14" xfId="0" applyBorder="1"/>
    <xf numFmtId="164" fontId="0" fillId="0" borderId="14" xfId="1" applyNumberFormat="1" applyFont="1" applyBorder="1"/>
    <xf numFmtId="164" fontId="0" fillId="0" borderId="0" xfId="1" applyNumberFormat="1" applyFont="1" applyBorder="1"/>
    <xf numFmtId="164" fontId="11" fillId="0" borderId="0" xfId="1" applyNumberFormat="1" applyFont="1" applyBorder="1"/>
    <xf numFmtId="164" fontId="11" fillId="0" borderId="4" xfId="1" applyNumberFormat="1" applyFont="1" applyBorder="1"/>
    <xf numFmtId="164" fontId="11" fillId="0" borderId="5" xfId="1" applyNumberFormat="1" applyFont="1" applyBorder="1"/>
    <xf numFmtId="0" fontId="0" fillId="0" borderId="4" xfId="0" applyBorder="1"/>
    <xf numFmtId="0" fontId="0" fillId="0" borderId="13" xfId="0" applyBorder="1" applyAlignment="1">
      <alignment horizontal="center"/>
    </xf>
    <xf numFmtId="9" fontId="0" fillId="0" borderId="13" xfId="21" applyFont="1" applyBorder="1" applyAlignment="1">
      <alignment horizontal="center"/>
    </xf>
    <xf numFmtId="167" fontId="0" fillId="0" borderId="13" xfId="21" applyNumberFormat="1" applyFont="1" applyBorder="1" applyAlignment="1">
      <alignment horizontal="center"/>
    </xf>
    <xf numFmtId="167" fontId="0" fillId="0" borderId="12" xfId="21" applyNumberFormat="1" applyFont="1" applyBorder="1" applyAlignment="1">
      <alignment horizontal="center"/>
    </xf>
    <xf numFmtId="0" fontId="0" fillId="0" borderId="15" xfId="0" applyBorder="1" applyAlignment="1">
      <alignment horizontal="center"/>
    </xf>
    <xf numFmtId="164" fontId="0" fillId="0" borderId="0" xfId="1" applyNumberFormat="1" applyFont="1" applyBorder="1" applyAlignment="1"/>
    <xf numFmtId="164" fontId="0" fillId="0" borderId="15" xfId="1" applyNumberFormat="1" applyFont="1" applyBorder="1" applyAlignment="1"/>
    <xf numFmtId="164" fontId="0" fillId="0" borderId="6" xfId="1" applyNumberFormat="1" applyFont="1" applyBorder="1" applyAlignment="1"/>
    <xf numFmtId="166" fontId="0" fillId="0" borderId="13" xfId="0" applyNumberFormat="1" applyBorder="1" applyAlignment="1">
      <alignment horizontal="center"/>
    </xf>
    <xf numFmtId="1" fontId="0" fillId="0" borderId="13" xfId="0" applyNumberFormat="1" applyBorder="1" applyAlignment="1">
      <alignment horizontal="center"/>
    </xf>
    <xf numFmtId="0" fontId="0" fillId="0" borderId="12" xfId="0" applyBorder="1" applyAlignment="1">
      <alignment horizontal="center"/>
    </xf>
    <xf numFmtId="166" fontId="0" fillId="0" borderId="11" xfId="0" applyNumberFormat="1" applyBorder="1" applyAlignment="1">
      <alignment horizontal="center"/>
    </xf>
    <xf numFmtId="166" fontId="0" fillId="0" borderId="12" xfId="0" applyNumberFormat="1" applyBorder="1" applyAlignment="1">
      <alignment horizontal="center"/>
    </xf>
    <xf numFmtId="44" fontId="0" fillId="0" borderId="0" xfId="1" applyFont="1" applyBorder="1" applyAlignment="1">
      <alignment horizontal="center"/>
    </xf>
    <xf numFmtId="44" fontId="0" fillId="2" borderId="14" xfId="1" applyFont="1" applyFill="1" applyBorder="1" applyAlignment="1">
      <alignment horizontal="center"/>
    </xf>
    <xf numFmtId="44" fontId="7" fillId="0" borderId="0" xfId="1" applyFont="1" applyBorder="1" applyAlignment="1">
      <alignment horizontal="center"/>
    </xf>
    <xf numFmtId="44" fontId="11" fillId="0" borderId="0" xfId="1" applyFont="1" applyBorder="1" applyAlignment="1">
      <alignment horizontal="center"/>
    </xf>
    <xf numFmtId="44" fontId="0" fillId="2" borderId="1" xfId="1" applyFont="1" applyFill="1" applyBorder="1" applyAlignment="1">
      <alignment horizontal="center"/>
    </xf>
    <xf numFmtId="0" fontId="11" fillId="0" borderId="2" xfId="0" applyFont="1" applyBorder="1" applyAlignment="1">
      <alignment horizontal="center"/>
    </xf>
    <xf numFmtId="0" fontId="11" fillId="0" borderId="3" xfId="0" applyFont="1" applyBorder="1" applyAlignment="1">
      <alignment horizontal="left"/>
    </xf>
    <xf numFmtId="0" fontId="0" fillId="0" borderId="15" xfId="0" quotePrefix="1" applyBorder="1"/>
    <xf numFmtId="0" fontId="11" fillId="0" borderId="4" xfId="0" applyFont="1" applyBorder="1" applyAlignment="1">
      <alignment horizontal="center"/>
    </xf>
    <xf numFmtId="0" fontId="11" fillId="0" borderId="5" xfId="0" applyFont="1" applyBorder="1" applyAlignment="1">
      <alignment horizontal="center"/>
    </xf>
    <xf numFmtId="0" fontId="11" fillId="0" borderId="6" xfId="0" applyFont="1" applyBorder="1"/>
    <xf numFmtId="0" fontId="18" fillId="0" borderId="0" xfId="0" applyFont="1" applyAlignment="1">
      <alignment horizontal="center"/>
    </xf>
    <xf numFmtId="44" fontId="18" fillId="0" borderId="0" xfId="0" applyNumberFormat="1" applyFont="1" applyAlignment="1">
      <alignment horizontal="center"/>
    </xf>
    <xf numFmtId="44" fontId="19" fillId="0" borderId="0" xfId="0" applyNumberFormat="1" applyFont="1" applyAlignment="1">
      <alignment horizontal="center"/>
    </xf>
    <xf numFmtId="164" fontId="0" fillId="0" borderId="13" xfId="1" applyNumberFormat="1" applyFont="1" applyBorder="1"/>
    <xf numFmtId="164" fontId="0" fillId="0" borderId="12" xfId="1" applyNumberFormat="1" applyFont="1" applyBorder="1"/>
    <xf numFmtId="164" fontId="0" fillId="0" borderId="11" xfId="1" applyNumberFormat="1" applyFont="1" applyBorder="1"/>
    <xf numFmtId="44" fontId="0" fillId="0" borderId="0" xfId="1" applyFont="1" applyFill="1" applyBorder="1" applyAlignment="1">
      <alignment horizontal="center"/>
    </xf>
    <xf numFmtId="44" fontId="0" fillId="0" borderId="5" xfId="1" applyFont="1" applyFill="1" applyBorder="1" applyAlignment="1">
      <alignment horizontal="center"/>
    </xf>
    <xf numFmtId="44" fontId="0" fillId="0" borderId="0" xfId="1" applyFont="1" applyFill="1" applyAlignment="1">
      <alignment horizontal="center"/>
    </xf>
    <xf numFmtId="44" fontId="0" fillId="0" borderId="2" xfId="1" applyFont="1" applyFill="1" applyBorder="1" applyAlignment="1">
      <alignment horizontal="center"/>
    </xf>
    <xf numFmtId="0" fontId="11" fillId="0" borderId="6" xfId="0" applyFont="1" applyBorder="1" applyAlignment="1">
      <alignment horizontal="center"/>
    </xf>
    <xf numFmtId="16" fontId="11" fillId="0" borderId="4" xfId="0" applyNumberFormat="1" applyFont="1" applyBorder="1" applyAlignment="1">
      <alignment horizontal="center"/>
    </xf>
    <xf numFmtId="0" fontId="0" fillId="0" borderId="11" xfId="0" applyBorder="1"/>
    <xf numFmtId="44" fontId="0" fillId="0" borderId="3" xfId="1" applyFont="1" applyBorder="1" applyAlignment="1">
      <alignment horizontal="center"/>
    </xf>
    <xf numFmtId="164" fontId="0" fillId="0" borderId="0" xfId="0" applyNumberFormat="1" applyAlignment="1">
      <alignment horizontal="center"/>
    </xf>
    <xf numFmtId="164" fontId="0" fillId="0" borderId="5" xfId="0" applyNumberFormat="1" applyBorder="1" applyAlignment="1">
      <alignment horizontal="center"/>
    </xf>
    <xf numFmtId="164" fontId="0" fillId="0" borderId="2" xfId="0" applyNumberFormat="1" applyBorder="1" applyAlignment="1">
      <alignment horizontal="center"/>
    </xf>
    <xf numFmtId="164" fontId="0" fillId="0" borderId="1" xfId="1" applyNumberFormat="1" applyFont="1" applyBorder="1"/>
    <xf numFmtId="0" fontId="11" fillId="0" borderId="8" xfId="0" applyFont="1" applyBorder="1"/>
    <xf numFmtId="0" fontId="11" fillId="0" borderId="9" xfId="0" applyFont="1" applyBorder="1"/>
    <xf numFmtId="44" fontId="0" fillId="0" borderId="0" xfId="1" applyFont="1" applyBorder="1" applyAlignment="1">
      <alignment horizontal="right"/>
    </xf>
    <xf numFmtId="167" fontId="0" fillId="0" borderId="3" xfId="21" applyNumberFormat="1" applyFont="1" applyBorder="1"/>
    <xf numFmtId="167" fontId="0" fillId="0" borderId="6" xfId="21" applyNumberFormat="1" applyFont="1" applyBorder="1"/>
    <xf numFmtId="44" fontId="0" fillId="2" borderId="14" xfId="1" applyFont="1" applyFill="1" applyBorder="1" applyAlignment="1">
      <alignment horizontal="right"/>
    </xf>
    <xf numFmtId="44" fontId="0" fillId="0" borderId="0" xfId="1" applyFont="1" applyFill="1" applyBorder="1" applyAlignment="1">
      <alignment horizontal="right"/>
    </xf>
    <xf numFmtId="0" fontId="11" fillId="0" borderId="9" xfId="0" applyFont="1" applyBorder="1" applyAlignment="1">
      <alignment horizontal="center"/>
    </xf>
    <xf numFmtId="164" fontId="0" fillId="0" borderId="0" xfId="1" applyNumberFormat="1" applyFont="1" applyBorder="1" applyAlignment="1">
      <alignment horizontal="left"/>
    </xf>
    <xf numFmtId="9" fontId="0" fillId="0" borderId="0" xfId="21" applyFont="1" applyFill="1" applyBorder="1" applyAlignment="1">
      <alignment horizontal="center"/>
    </xf>
    <xf numFmtId="0" fontId="11" fillId="0" borderId="1" xfId="0" applyFont="1" applyBorder="1"/>
    <xf numFmtId="0" fontId="11" fillId="0" borderId="2" xfId="0" applyFont="1" applyBorder="1"/>
    <xf numFmtId="0" fontId="19" fillId="0" borderId="16" xfId="0" applyFont="1" applyBorder="1" applyAlignment="1">
      <alignment horizontal="center"/>
    </xf>
    <xf numFmtId="0" fontId="19" fillId="0" borderId="17" xfId="0" applyFont="1" applyBorder="1" applyAlignment="1">
      <alignment horizontal="center"/>
    </xf>
    <xf numFmtId="44" fontId="18" fillId="0" borderId="18" xfId="0" applyNumberFormat="1" applyFont="1" applyBorder="1" applyAlignment="1">
      <alignment horizontal="center"/>
    </xf>
    <xf numFmtId="44" fontId="18" fillId="0" borderId="19" xfId="0" applyNumberFormat="1" applyFont="1" applyBorder="1" applyAlignment="1">
      <alignment horizontal="center"/>
    </xf>
    <xf numFmtId="44" fontId="19" fillId="0" borderId="18" xfId="0" applyNumberFormat="1" applyFont="1" applyBorder="1" applyAlignment="1">
      <alignment horizontal="center"/>
    </xf>
    <xf numFmtId="44" fontId="19" fillId="0" borderId="19" xfId="0" applyNumberFormat="1" applyFont="1" applyBorder="1" applyAlignment="1">
      <alignment horizontal="center"/>
    </xf>
    <xf numFmtId="44" fontId="18" fillId="0" borderId="20" xfId="0" applyNumberFormat="1" applyFont="1" applyBorder="1" applyAlignment="1">
      <alignment horizontal="center"/>
    </xf>
    <xf numFmtId="44" fontId="18" fillId="0" borderId="21" xfId="0" applyNumberFormat="1" applyFont="1" applyBorder="1" applyAlignment="1">
      <alignment horizontal="center"/>
    </xf>
    <xf numFmtId="44" fontId="0" fillId="0" borderId="18" xfId="1" applyFont="1" applyBorder="1" applyAlignment="1">
      <alignment horizontal="right"/>
    </xf>
    <xf numFmtId="0" fontId="11" fillId="0" borderId="12" xfId="0" applyFont="1" applyBorder="1"/>
    <xf numFmtId="164" fontId="0" fillId="0" borderId="14" xfId="0" applyNumberFormat="1" applyBorder="1" applyAlignment="1">
      <alignment horizontal="center"/>
    </xf>
    <xf numFmtId="0" fontId="11" fillId="0" borderId="4" xfId="0" applyFont="1" applyBorder="1"/>
    <xf numFmtId="172" fontId="0" fillId="0" borderId="13" xfId="0" applyNumberFormat="1" applyBorder="1" applyAlignment="1">
      <alignment horizontal="center"/>
    </xf>
    <xf numFmtId="44" fontId="0" fillId="0" borderId="15" xfId="1" applyFont="1" applyFill="1" applyBorder="1" applyAlignment="1">
      <alignment horizontal="center"/>
    </xf>
    <xf numFmtId="164" fontId="0" fillId="0" borderId="15" xfId="1" applyNumberFormat="1" applyFont="1" applyFill="1" applyBorder="1" applyAlignment="1">
      <alignment horizontal="center"/>
    </xf>
    <xf numFmtId="44" fontId="0" fillId="0" borderId="6" xfId="1" applyFont="1" applyFill="1" applyBorder="1" applyAlignment="1">
      <alignment horizontal="center"/>
    </xf>
    <xf numFmtId="0" fontId="0" fillId="0" borderId="6" xfId="0" applyBorder="1" applyAlignment="1">
      <alignment horizontal="center"/>
    </xf>
    <xf numFmtId="0" fontId="11" fillId="0" borderId="1" xfId="0" applyFont="1" applyBorder="1" applyAlignment="1">
      <alignment horizontal="center"/>
    </xf>
    <xf numFmtId="9" fontId="0" fillId="0" borderId="0" xfId="0" applyNumberFormat="1"/>
    <xf numFmtId="0" fontId="11" fillId="0" borderId="15" xfId="0" applyFont="1" applyBorder="1"/>
    <xf numFmtId="0" fontId="18" fillId="0" borderId="0" xfId="0" applyFont="1"/>
    <xf numFmtId="0" fontId="18" fillId="0" borderId="13" xfId="0" applyFont="1" applyBorder="1" applyAlignment="1">
      <alignment horizontal="center"/>
    </xf>
    <xf numFmtId="44" fontId="18" fillId="0" borderId="18" xfId="0" applyNumberFormat="1" applyFont="1" applyBorder="1"/>
    <xf numFmtId="164" fontId="18" fillId="0" borderId="24" xfId="0" applyNumberFormat="1" applyFont="1" applyBorder="1"/>
    <xf numFmtId="164" fontId="0" fillId="0" borderId="0" xfId="1" applyNumberFormat="1" applyFont="1" applyFill="1" applyBorder="1" applyAlignment="1">
      <alignment horizontal="center"/>
    </xf>
    <xf numFmtId="0" fontId="0" fillId="0" borderId="11" xfId="0" applyBorder="1" applyAlignment="1">
      <alignment horizontal="center"/>
    </xf>
    <xf numFmtId="164" fontId="0" fillId="0" borderId="1" xfId="0" applyNumberFormat="1" applyBorder="1" applyAlignment="1">
      <alignment horizontal="center"/>
    </xf>
    <xf numFmtId="164" fontId="0" fillId="0" borderId="4" xfId="0" applyNumberFormat="1" applyBorder="1" applyAlignment="1">
      <alignment horizontal="center"/>
    </xf>
    <xf numFmtId="44" fontId="0" fillId="0" borderId="14" xfId="1" applyFont="1" applyFill="1" applyBorder="1" applyAlignment="1">
      <alignment horizontal="center"/>
    </xf>
    <xf numFmtId="44" fontId="0" fillId="0" borderId="4" xfId="1" applyFont="1" applyFill="1" applyBorder="1" applyAlignment="1">
      <alignment horizontal="center"/>
    </xf>
    <xf numFmtId="44" fontId="7" fillId="0" borderId="15" xfId="1" applyFont="1" applyBorder="1" applyAlignment="1">
      <alignment horizontal="center"/>
    </xf>
    <xf numFmtId="44" fontId="11" fillId="0" borderId="15" xfId="1" applyFont="1" applyBorder="1" applyAlignment="1">
      <alignment horizontal="center"/>
    </xf>
    <xf numFmtId="44" fontId="0" fillId="2" borderId="13" xfId="1" applyFont="1" applyFill="1" applyBorder="1" applyAlignment="1">
      <alignment horizontal="center"/>
    </xf>
    <xf numFmtId="0" fontId="18" fillId="0" borderId="15" xfId="0" applyFont="1" applyBorder="1" applyAlignment="1">
      <alignment horizontal="center"/>
    </xf>
    <xf numFmtId="0" fontId="18" fillId="0" borderId="14" xfId="0" applyFont="1" applyBorder="1" applyAlignment="1">
      <alignment horizontal="center"/>
    </xf>
    <xf numFmtId="16" fontId="11" fillId="0" borderId="6" xfId="0" applyNumberFormat="1" applyFont="1" applyBorder="1" applyAlignment="1">
      <alignment horizontal="center"/>
    </xf>
    <xf numFmtId="0" fontId="11" fillId="0" borderId="6" xfId="0" applyFont="1" applyBorder="1" applyAlignment="1">
      <alignment horizontal="left"/>
    </xf>
    <xf numFmtId="16" fontId="11" fillId="0" borderId="5" xfId="0" applyNumberFormat="1" applyFont="1" applyBorder="1" applyAlignment="1">
      <alignment horizontal="center"/>
    </xf>
    <xf numFmtId="16" fontId="11" fillId="0" borderId="7" xfId="0" applyNumberFormat="1" applyFont="1" applyBorder="1" applyAlignment="1">
      <alignment horizontal="center"/>
    </xf>
    <xf numFmtId="16" fontId="11" fillId="0" borderId="9" xfId="0" applyNumberFormat="1" applyFont="1" applyBorder="1" applyAlignment="1">
      <alignment horizontal="center"/>
    </xf>
    <xf numFmtId="16" fontId="19" fillId="0" borderId="20" xfId="0" applyNumberFormat="1" applyFont="1" applyBorder="1" applyAlignment="1">
      <alignment horizontal="center"/>
    </xf>
    <xf numFmtId="16" fontId="19" fillId="0" borderId="21" xfId="0" applyNumberFormat="1" applyFont="1" applyBorder="1" applyAlignment="1">
      <alignment horizontal="center"/>
    </xf>
    <xf numFmtId="44" fontId="0" fillId="2" borderId="11" xfId="1" applyFont="1" applyFill="1" applyBorder="1" applyAlignment="1">
      <alignment horizontal="center"/>
    </xf>
    <xf numFmtId="44" fontId="18" fillId="0" borderId="25" xfId="0" applyNumberFormat="1" applyFont="1" applyBorder="1" applyAlignment="1">
      <alignment horizontal="center"/>
    </xf>
    <xf numFmtId="44" fontId="18" fillId="0" borderId="26" xfId="0" applyNumberFormat="1" applyFont="1" applyBorder="1" applyAlignment="1">
      <alignment horizontal="center"/>
    </xf>
    <xf numFmtId="164" fontId="18" fillId="0" borderId="18" xfId="0" applyNumberFormat="1" applyFont="1" applyBorder="1" applyAlignment="1">
      <alignment horizontal="center"/>
    </xf>
    <xf numFmtId="44" fontId="18" fillId="0" borderId="15" xfId="0" applyNumberFormat="1" applyFont="1" applyBorder="1" applyAlignment="1">
      <alignment horizontal="center"/>
    </xf>
    <xf numFmtId="44" fontId="0" fillId="0" borderId="15" xfId="1" applyFont="1" applyBorder="1" applyAlignment="1">
      <alignment horizontal="center"/>
    </xf>
    <xf numFmtId="164" fontId="7" fillId="0" borderId="15" xfId="1" applyNumberFormat="1" applyFont="1" applyBorder="1" applyAlignment="1">
      <alignment horizontal="center"/>
    </xf>
    <xf numFmtId="164" fontId="0" fillId="0" borderId="14" xfId="1" applyNumberFormat="1" applyFont="1" applyFill="1" applyBorder="1"/>
    <xf numFmtId="164" fontId="0" fillId="0" borderId="0" xfId="1" applyNumberFormat="1" applyFont="1" applyFill="1" applyBorder="1"/>
    <xf numFmtId="167" fontId="0" fillId="0" borderId="15" xfId="21" applyNumberFormat="1" applyFont="1" applyFill="1" applyBorder="1"/>
    <xf numFmtId="164" fontId="18" fillId="0" borderId="15" xfId="0" applyNumberFormat="1" applyFont="1" applyBorder="1"/>
    <xf numFmtId="164" fontId="0" fillId="0" borderId="15" xfId="1" applyNumberFormat="1" applyFont="1" applyFill="1" applyBorder="1" applyAlignment="1"/>
    <xf numFmtId="44" fontId="18" fillId="0" borderId="14" xfId="0" applyNumberFormat="1" applyFont="1" applyBorder="1" applyAlignment="1">
      <alignment horizontal="center"/>
    </xf>
    <xf numFmtId="44" fontId="18" fillId="0" borderId="13" xfId="0" applyNumberFormat="1" applyFont="1" applyBorder="1" applyAlignment="1">
      <alignment horizontal="center"/>
    </xf>
    <xf numFmtId="44" fontId="18" fillId="2" borderId="13" xfId="0" applyNumberFormat="1" applyFont="1" applyFill="1" applyBorder="1" applyAlignment="1">
      <alignment horizontal="center"/>
    </xf>
    <xf numFmtId="44" fontId="0" fillId="0" borderId="11" xfId="1" applyFont="1" applyFill="1" applyBorder="1" applyAlignment="1">
      <alignment horizontal="center"/>
    </xf>
    <xf numFmtId="44" fontId="0" fillId="0" borderId="13" xfId="1" applyFont="1" applyFill="1" applyBorder="1" applyAlignment="1">
      <alignment horizontal="center"/>
    </xf>
    <xf numFmtId="44" fontId="0" fillId="0" borderId="12" xfId="1" applyFont="1" applyFill="1" applyBorder="1" applyAlignment="1">
      <alignment horizontal="center"/>
    </xf>
    <xf numFmtId="0" fontId="0" fillId="0" borderId="2" xfId="0" applyBorder="1" applyAlignment="1">
      <alignment horizontal="left"/>
    </xf>
    <xf numFmtId="44" fontId="7" fillId="0" borderId="6" xfId="1" applyFont="1" applyBorder="1" applyAlignment="1">
      <alignment horizontal="center"/>
    </xf>
    <xf numFmtId="164" fontId="0" fillId="0" borderId="1" xfId="1" applyNumberFormat="1" applyFont="1" applyFill="1" applyBorder="1"/>
    <xf numFmtId="164" fontId="0" fillId="0" borderId="2" xfId="1" applyNumberFormat="1" applyFont="1" applyFill="1" applyBorder="1"/>
    <xf numFmtId="164" fontId="0" fillId="0" borderId="3" xfId="1" applyNumberFormat="1" applyFont="1" applyFill="1" applyBorder="1" applyAlignment="1"/>
    <xf numFmtId="164" fontId="0" fillId="0" borderId="13" xfId="1" applyNumberFormat="1" applyFont="1" applyFill="1" applyBorder="1"/>
    <xf numFmtId="164" fontId="0" fillId="0" borderId="13" xfId="1" applyNumberFormat="1" applyFont="1" applyFill="1" applyBorder="1" applyAlignment="1"/>
    <xf numFmtId="164" fontId="0" fillId="0" borderId="12" xfId="1" applyNumberFormat="1" applyFont="1" applyFill="1" applyBorder="1"/>
    <xf numFmtId="164" fontId="0" fillId="0" borderId="6" xfId="1" applyNumberFormat="1" applyFont="1" applyFill="1" applyBorder="1" applyAlignment="1"/>
    <xf numFmtId="44" fontId="20" fillId="0" borderId="13" xfId="1" applyFont="1" applyFill="1" applyBorder="1" applyAlignment="1">
      <alignment horizontal="center"/>
    </xf>
    <xf numFmtId="164" fontId="0" fillId="0" borderId="13" xfId="1" applyNumberFormat="1" applyFont="1" applyFill="1" applyBorder="1" applyAlignment="1">
      <alignment horizontal="center"/>
    </xf>
    <xf numFmtId="44" fontId="0" fillId="0" borderId="13" xfId="1" applyFont="1" applyFill="1" applyBorder="1" applyAlignment="1">
      <alignment horizontal="right"/>
    </xf>
    <xf numFmtId="0" fontId="0" fillId="0" borderId="8" xfId="0" applyBorder="1" applyAlignment="1">
      <alignment horizontal="left"/>
    </xf>
    <xf numFmtId="164" fontId="0" fillId="0" borderId="10" xfId="1" applyNumberFormat="1" applyFont="1" applyFill="1" applyBorder="1"/>
    <xf numFmtId="0" fontId="0" fillId="4" borderId="10" xfId="0" applyFill="1" applyBorder="1"/>
    <xf numFmtId="9" fontId="0" fillId="0" borderId="10" xfId="21" applyFont="1" applyBorder="1"/>
    <xf numFmtId="1" fontId="18" fillId="0" borderId="13" xfId="0" applyNumberFormat="1" applyFont="1" applyBorder="1" applyAlignment="1">
      <alignment horizontal="center"/>
    </xf>
    <xf numFmtId="164" fontId="0" fillId="0" borderId="0" xfId="0" applyNumberFormat="1"/>
    <xf numFmtId="0" fontId="11" fillId="0" borderId="3" xfId="0" applyFont="1" applyBorder="1" applyAlignment="1">
      <alignment horizontal="center"/>
    </xf>
    <xf numFmtId="164" fontId="0" fillId="0" borderId="0" xfId="1" applyNumberFormat="1" applyFont="1" applyFill="1" applyBorder="1" applyAlignment="1"/>
    <xf numFmtId="2" fontId="0" fillId="0" borderId="15" xfId="0" applyNumberFormat="1" applyBorder="1" applyAlignment="1">
      <alignment horizontal="center"/>
    </xf>
    <xf numFmtId="167" fontId="0" fillId="0" borderId="13" xfId="21" applyNumberFormat="1" applyFont="1" applyFill="1" applyBorder="1" applyAlignment="1">
      <alignment horizontal="center"/>
    </xf>
    <xf numFmtId="44" fontId="7" fillId="0" borderId="15" xfId="1" applyFont="1" applyFill="1" applyBorder="1" applyAlignment="1">
      <alignment horizontal="center"/>
    </xf>
    <xf numFmtId="164" fontId="11" fillId="0" borderId="0" xfId="1" applyNumberFormat="1" applyFont="1" applyFill="1" applyBorder="1"/>
    <xf numFmtId="164" fontId="0" fillId="7" borderId="14" xfId="1" applyNumberFormat="1" applyFont="1" applyFill="1" applyBorder="1"/>
    <xf numFmtId="9" fontId="0" fillId="0" borderId="15" xfId="21" applyFont="1" applyFill="1" applyBorder="1"/>
    <xf numFmtId="44" fontId="7" fillId="0" borderId="3" xfId="1" applyFont="1" applyBorder="1" applyAlignment="1">
      <alignment horizontal="center"/>
    </xf>
    <xf numFmtId="9" fontId="0" fillId="0" borderId="0" xfId="0" applyNumberFormat="1" applyAlignment="1">
      <alignment horizontal="center"/>
    </xf>
    <xf numFmtId="0" fontId="11" fillId="0" borderId="5" xfId="0" applyFont="1" applyBorder="1" applyAlignment="1">
      <alignment horizontal="left"/>
    </xf>
    <xf numFmtId="164" fontId="0" fillId="0" borderId="12" xfId="1" applyNumberFormat="1" applyFont="1" applyFill="1" applyBorder="1" applyAlignment="1">
      <alignment horizontal="center"/>
    </xf>
    <xf numFmtId="164" fontId="0" fillId="0" borderId="6" xfId="1" applyNumberFormat="1" applyFont="1" applyFill="1" applyBorder="1" applyAlignment="1">
      <alignment horizontal="center"/>
    </xf>
    <xf numFmtId="0" fontId="12" fillId="0" borderId="3" xfId="0" applyFont="1" applyBorder="1"/>
    <xf numFmtId="167" fontId="0" fillId="0" borderId="11" xfId="21" applyNumberFormat="1" applyFont="1" applyFill="1" applyBorder="1" applyAlignment="1">
      <alignment horizontal="center"/>
    </xf>
    <xf numFmtId="9" fontId="0" fillId="0" borderId="3" xfId="21" applyFont="1" applyFill="1" applyBorder="1"/>
    <xf numFmtId="164" fontId="0" fillId="0" borderId="11" xfId="1" applyNumberFormat="1" applyFont="1" applyFill="1" applyBorder="1"/>
    <xf numFmtId="164" fontId="0" fillId="0" borderId="2" xfId="1" applyNumberFormat="1" applyFont="1" applyFill="1" applyBorder="1" applyAlignment="1"/>
    <xf numFmtId="164" fontId="0" fillId="0" borderId="11" xfId="1" applyNumberFormat="1" applyFont="1" applyFill="1" applyBorder="1" applyAlignment="1">
      <alignment horizontal="center"/>
    </xf>
    <xf numFmtId="164" fontId="0" fillId="0" borderId="3" xfId="1" applyNumberFormat="1" applyFont="1" applyFill="1" applyBorder="1" applyAlignment="1">
      <alignment horizontal="center"/>
    </xf>
    <xf numFmtId="9" fontId="0" fillId="0" borderId="15" xfId="0" applyNumberFormat="1" applyBorder="1"/>
    <xf numFmtId="167" fontId="0" fillId="0" borderId="5" xfId="21" applyNumberFormat="1" applyFont="1" applyFill="1" applyBorder="1" applyAlignment="1">
      <alignment horizontal="center"/>
    </xf>
    <xf numFmtId="164" fontId="11" fillId="0" borderId="5" xfId="1" applyNumberFormat="1" applyFont="1" applyFill="1" applyBorder="1"/>
    <xf numFmtId="9" fontId="11" fillId="0" borderId="6" xfId="21" applyFont="1" applyFill="1" applyBorder="1"/>
    <xf numFmtId="164" fontId="0" fillId="0" borderId="5" xfId="1" applyNumberFormat="1" applyFont="1" applyFill="1" applyBorder="1" applyAlignment="1"/>
    <xf numFmtId="2" fontId="0" fillId="0" borderId="6" xfId="0" applyNumberFormat="1" applyBorder="1" applyAlignment="1">
      <alignment horizontal="center"/>
    </xf>
    <xf numFmtId="164" fontId="11" fillId="0" borderId="2" xfId="1" applyNumberFormat="1" applyFont="1" applyFill="1" applyBorder="1"/>
    <xf numFmtId="9" fontId="11" fillId="0" borderId="3" xfId="21" applyFont="1" applyFill="1" applyBorder="1"/>
    <xf numFmtId="2" fontId="0" fillId="0" borderId="3" xfId="0" applyNumberFormat="1" applyBorder="1" applyAlignment="1">
      <alignment horizontal="center"/>
    </xf>
    <xf numFmtId="9" fontId="0" fillId="0" borderId="3" xfId="0" applyNumberFormat="1" applyBorder="1"/>
    <xf numFmtId="0" fontId="11" fillId="0" borderId="5" xfId="0" applyFont="1" applyBorder="1"/>
    <xf numFmtId="9" fontId="0" fillId="0" borderId="6" xfId="0" applyNumberFormat="1" applyBorder="1"/>
    <xf numFmtId="44" fontId="0" fillId="0" borderId="8" xfId="1" applyFont="1" applyFill="1" applyBorder="1" applyAlignment="1">
      <alignment horizontal="center"/>
    </xf>
    <xf numFmtId="9" fontId="11" fillId="0" borderId="0" xfId="21" applyFont="1" applyFill="1" applyBorder="1"/>
    <xf numFmtId="44" fontId="11" fillId="0" borderId="0" xfId="1" applyFont="1" applyFill="1" applyBorder="1"/>
    <xf numFmtId="164" fontId="11" fillId="0" borderId="0" xfId="1" applyNumberFormat="1" applyFont="1" applyFill="1" applyBorder="1" applyAlignment="1"/>
    <xf numFmtId="44" fontId="11" fillId="0" borderId="0" xfId="1" applyFont="1" applyFill="1" applyBorder="1" applyAlignment="1">
      <alignment horizontal="center"/>
    </xf>
    <xf numFmtId="9" fontId="11" fillId="0" borderId="0" xfId="21" applyFont="1" applyFill="1" applyBorder="1" applyAlignment="1">
      <alignment horizontal="center"/>
    </xf>
    <xf numFmtId="1" fontId="0" fillId="0" borderId="12" xfId="0" applyNumberFormat="1" applyBorder="1" applyAlignment="1">
      <alignment horizontal="center"/>
    </xf>
    <xf numFmtId="167" fontId="0" fillId="0" borderId="8" xfId="21" applyNumberFormat="1" applyFont="1" applyFill="1" applyBorder="1" applyAlignment="1">
      <alignment horizontal="center"/>
    </xf>
    <xf numFmtId="164" fontId="0" fillId="0" borderId="8" xfId="1" applyNumberFormat="1" applyFont="1" applyFill="1" applyBorder="1"/>
    <xf numFmtId="164" fontId="11" fillId="0" borderId="8" xfId="1" applyNumberFormat="1" applyFont="1" applyFill="1" applyBorder="1"/>
    <xf numFmtId="9" fontId="0" fillId="0" borderId="8" xfId="21" applyFont="1" applyFill="1" applyBorder="1"/>
    <xf numFmtId="164" fontId="0" fillId="0" borderId="8" xfId="1" applyNumberFormat="1" applyFont="1" applyFill="1" applyBorder="1" applyAlignment="1"/>
    <xf numFmtId="44" fontId="7" fillId="0" borderId="2" xfId="1" applyFont="1" applyBorder="1" applyAlignment="1">
      <alignment horizontal="center"/>
    </xf>
    <xf numFmtId="44" fontId="18" fillId="0" borderId="2" xfId="0" applyNumberFormat="1" applyFont="1" applyBorder="1" applyAlignment="1">
      <alignment horizontal="center"/>
    </xf>
    <xf numFmtId="9" fontId="11" fillId="0" borderId="0" xfId="21" applyFont="1" applyBorder="1"/>
    <xf numFmtId="44" fontId="19" fillId="0" borderId="0" xfId="0" quotePrefix="1" applyNumberFormat="1" applyFont="1" applyAlignment="1">
      <alignment horizontal="center"/>
    </xf>
    <xf numFmtId="0" fontId="18" fillId="0" borderId="15" xfId="0" applyFont="1" applyBorder="1"/>
    <xf numFmtId="167" fontId="20" fillId="0" borderId="13" xfId="21" applyNumberFormat="1" applyFont="1" applyFill="1" applyBorder="1" applyAlignment="1">
      <alignment horizontal="center"/>
    </xf>
    <xf numFmtId="164" fontId="18" fillId="0" borderId="0" xfId="0" applyNumberFormat="1" applyFont="1"/>
    <xf numFmtId="44" fontId="18" fillId="0" borderId="0" xfId="0" applyNumberFormat="1" applyFont="1"/>
    <xf numFmtId="9" fontId="0" fillId="0" borderId="12" xfId="21" applyFont="1" applyBorder="1" applyAlignment="1">
      <alignment horizontal="center"/>
    </xf>
    <xf numFmtId="44" fontId="0" fillId="0" borderId="12" xfId="1" applyFont="1" applyFill="1" applyBorder="1" applyAlignment="1">
      <alignment horizontal="right"/>
    </xf>
    <xf numFmtId="44" fontId="0" fillId="0" borderId="5" xfId="1" applyFont="1" applyBorder="1" applyAlignment="1">
      <alignment horizontal="right"/>
    </xf>
    <xf numFmtId="44" fontId="0" fillId="0" borderId="20" xfId="1" applyFont="1" applyBorder="1" applyAlignment="1">
      <alignment horizontal="right"/>
    </xf>
    <xf numFmtId="167" fontId="0" fillId="0" borderId="2" xfId="21" applyNumberFormat="1" applyFont="1" applyBorder="1" applyAlignment="1">
      <alignment horizontal="center"/>
    </xf>
    <xf numFmtId="9" fontId="0" fillId="0" borderId="2" xfId="21" applyFont="1" applyBorder="1"/>
    <xf numFmtId="0" fontId="12" fillId="5" borderId="22" xfId="0" applyFont="1" applyFill="1" applyBorder="1"/>
    <xf numFmtId="0" fontId="0" fillId="5" borderId="23" xfId="0" applyFill="1" applyBorder="1" applyAlignment="1">
      <alignment horizontal="center"/>
    </xf>
    <xf numFmtId="0" fontId="11" fillId="6" borderId="7" xfId="0" applyFont="1" applyFill="1" applyBorder="1" applyAlignment="1">
      <alignment horizontal="left"/>
    </xf>
    <xf numFmtId="0" fontId="11" fillId="6" borderId="9" xfId="0" applyFont="1" applyFill="1" applyBorder="1"/>
    <xf numFmtId="164" fontId="11" fillId="6" borderId="7" xfId="1" applyNumberFormat="1" applyFont="1" applyFill="1" applyBorder="1"/>
    <xf numFmtId="164" fontId="11" fillId="6" borderId="8" xfId="1" applyNumberFormat="1" applyFont="1" applyFill="1" applyBorder="1"/>
    <xf numFmtId="9" fontId="11" fillId="6" borderId="9" xfId="21" applyFont="1" applyFill="1" applyBorder="1"/>
    <xf numFmtId="164" fontId="11" fillId="6" borderId="10" xfId="1" applyNumberFormat="1" applyFont="1" applyFill="1" applyBorder="1"/>
    <xf numFmtId="167" fontId="0" fillId="0" borderId="0" xfId="21" applyNumberFormat="1" applyFont="1" applyFill="1" applyBorder="1"/>
    <xf numFmtId="0" fontId="0" fillId="5" borderId="30" xfId="0" applyFill="1" applyBorder="1"/>
    <xf numFmtId="44" fontId="0" fillId="0" borderId="0" xfId="1" applyFont="1" applyFill="1" applyBorder="1" applyAlignment="1">
      <alignment horizontal="left"/>
    </xf>
    <xf numFmtId="44" fontId="7" fillId="0" borderId="0" xfId="1" applyFont="1" applyFill="1" applyBorder="1" applyAlignment="1">
      <alignment horizontal="center"/>
    </xf>
    <xf numFmtId="0" fontId="0" fillId="0" borderId="0" xfId="0" quotePrefix="1"/>
    <xf numFmtId="167" fontId="0" fillId="0" borderId="0" xfId="21" quotePrefix="1" applyNumberFormat="1" applyFont="1" applyFill="1" applyBorder="1" applyAlignment="1">
      <alignment horizontal="center"/>
    </xf>
    <xf numFmtId="44" fontId="18" fillId="0" borderId="5" xfId="0" applyNumberFormat="1" applyFont="1" applyBorder="1" applyAlignment="1">
      <alignment horizontal="center"/>
    </xf>
    <xf numFmtId="0" fontId="11" fillId="6" borderId="27" xfId="0" applyFont="1" applyFill="1" applyBorder="1" applyAlignment="1">
      <alignment horizontal="left"/>
    </xf>
    <xf numFmtId="0" fontId="11" fillId="6" borderId="22" xfId="0" applyFont="1" applyFill="1" applyBorder="1"/>
    <xf numFmtId="0" fontId="0" fillId="6" borderId="30" xfId="0" applyFill="1" applyBorder="1"/>
    <xf numFmtId="9" fontId="11" fillId="6" borderId="30" xfId="21" applyFont="1" applyFill="1" applyBorder="1" applyAlignment="1">
      <alignment horizontal="center"/>
    </xf>
    <xf numFmtId="0" fontId="11" fillId="6" borderId="30" xfId="0" applyFont="1" applyFill="1" applyBorder="1"/>
    <xf numFmtId="164" fontId="0" fillId="6" borderId="30" xfId="1" applyNumberFormat="1" applyFont="1" applyFill="1" applyBorder="1"/>
    <xf numFmtId="167" fontId="0" fillId="6" borderId="30" xfId="21" applyNumberFormat="1" applyFont="1" applyFill="1" applyBorder="1"/>
    <xf numFmtId="164" fontId="0" fillId="6" borderId="23" xfId="1" applyNumberFormat="1" applyFont="1" applyFill="1" applyBorder="1"/>
    <xf numFmtId="0" fontId="0" fillId="6" borderId="9" xfId="0" applyFill="1" applyBorder="1"/>
    <xf numFmtId="0" fontId="11" fillId="6" borderId="23" xfId="0" applyFont="1" applyFill="1" applyBorder="1" applyAlignment="1">
      <alignment horizontal="center"/>
    </xf>
    <xf numFmtId="167" fontId="0" fillId="0" borderId="15" xfId="21" applyNumberFormat="1" applyFont="1" applyBorder="1" applyAlignment="1">
      <alignment horizontal="center"/>
    </xf>
    <xf numFmtId="164" fontId="11" fillId="6" borderId="7" xfId="0" applyNumberFormat="1" applyFont="1" applyFill="1" applyBorder="1" applyAlignment="1">
      <alignment horizontal="center"/>
    </xf>
    <xf numFmtId="0" fontId="11" fillId="6" borderId="8" xfId="0" applyFont="1" applyFill="1" applyBorder="1" applyAlignment="1">
      <alignment horizontal="left"/>
    </xf>
    <xf numFmtId="0" fontId="11" fillId="6" borderId="8" xfId="0" applyFont="1" applyFill="1" applyBorder="1" applyAlignment="1">
      <alignment horizontal="center"/>
    </xf>
    <xf numFmtId="44" fontId="11" fillId="6" borderId="8" xfId="1" applyFont="1" applyFill="1" applyBorder="1" applyAlignment="1">
      <alignment horizontal="center"/>
    </xf>
    <xf numFmtId="16" fontId="11" fillId="0" borderId="10" xfId="0" applyNumberFormat="1" applyFont="1" applyBorder="1" applyAlignment="1">
      <alignment horizontal="center"/>
    </xf>
    <xf numFmtId="164" fontId="11" fillId="0" borderId="8" xfId="0" applyNumberFormat="1" applyFont="1" applyBorder="1" applyAlignment="1">
      <alignment horizontal="center"/>
    </xf>
    <xf numFmtId="44" fontId="0" fillId="0" borderId="1" xfId="1" applyFont="1" applyFill="1" applyBorder="1" applyAlignment="1">
      <alignment horizontal="center"/>
    </xf>
    <xf numFmtId="44" fontId="0" fillId="0" borderId="14" xfId="1" applyFont="1" applyFill="1" applyBorder="1" applyAlignment="1">
      <alignment horizontal="right"/>
    </xf>
    <xf numFmtId="44" fontId="0" fillId="0" borderId="4" xfId="1" applyFont="1" applyFill="1" applyBorder="1" applyAlignment="1">
      <alignment horizontal="right"/>
    </xf>
    <xf numFmtId="0" fontId="11" fillId="0" borderId="7" xfId="0" applyFont="1" applyBorder="1" applyAlignment="1">
      <alignment horizontal="center"/>
    </xf>
    <xf numFmtId="1" fontId="11" fillId="0" borderId="0" xfId="21" applyNumberFormat="1" applyFont="1" applyFill="1" applyBorder="1" applyAlignment="1">
      <alignment horizontal="center"/>
    </xf>
    <xf numFmtId="9" fontId="11" fillId="0" borderId="0" xfId="21" applyFont="1" applyFill="1" applyBorder="1" applyAlignment="1">
      <alignment horizontal="left"/>
    </xf>
    <xf numFmtId="164" fontId="11" fillId="0" borderId="7" xfId="0" applyNumberFormat="1" applyFont="1" applyBorder="1" applyAlignment="1">
      <alignment horizontal="center"/>
    </xf>
    <xf numFmtId="167" fontId="0" fillId="0" borderId="13" xfId="21" quotePrefix="1" applyNumberFormat="1" applyFont="1" applyFill="1" applyBorder="1" applyAlignment="1">
      <alignment horizontal="center"/>
    </xf>
    <xf numFmtId="164" fontId="0" fillId="7" borderId="0" xfId="1" applyNumberFormat="1" applyFont="1" applyFill="1" applyBorder="1"/>
    <xf numFmtId="0" fontId="0" fillId="8" borderId="0" xfId="0" applyFill="1"/>
    <xf numFmtId="44" fontId="7" fillId="0" borderId="2" xfId="1" applyFont="1" applyFill="1" applyBorder="1" applyAlignment="1">
      <alignment horizontal="center"/>
    </xf>
    <xf numFmtId="44" fontId="7" fillId="0" borderId="5" xfId="1" applyFont="1" applyBorder="1" applyAlignment="1">
      <alignment horizontal="center"/>
    </xf>
    <xf numFmtId="9" fontId="0" fillId="0" borderId="5" xfId="0" applyNumberFormat="1" applyBorder="1"/>
    <xf numFmtId="0" fontId="18" fillId="0" borderId="3" xfId="0" applyFont="1" applyBorder="1"/>
    <xf numFmtId="44" fontId="0" fillId="4" borderId="13" xfId="1" applyFont="1" applyFill="1" applyBorder="1" applyAlignment="1">
      <alignment horizontal="center"/>
    </xf>
    <xf numFmtId="2" fontId="0" fillId="0" borderId="0" xfId="0" applyNumberFormat="1" applyAlignment="1">
      <alignment horizontal="center"/>
    </xf>
    <xf numFmtId="169" fontId="0" fillId="0" borderId="10" xfId="0" applyNumberFormat="1" applyBorder="1"/>
    <xf numFmtId="9" fontId="11" fillId="0" borderId="15" xfId="21" applyFont="1" applyFill="1" applyBorder="1"/>
    <xf numFmtId="167" fontId="5" fillId="0" borderId="0" xfId="21" applyNumberFormat="1" applyFont="1" applyFill="1" applyBorder="1" applyAlignment="1">
      <alignment horizontal="center"/>
    </xf>
    <xf numFmtId="0" fontId="0" fillId="0" borderId="5" xfId="0" applyBorder="1" applyAlignment="1">
      <alignment horizontal="left"/>
    </xf>
    <xf numFmtId="0" fontId="11" fillId="0" borderId="0" xfId="0" applyFont="1" applyAlignment="1">
      <alignment horizontal="right"/>
    </xf>
    <xf numFmtId="0" fontId="21" fillId="0" borderId="0" xfId="0" applyFont="1"/>
    <xf numFmtId="169" fontId="0" fillId="0" borderId="10" xfId="0" applyNumberFormat="1" applyBorder="1" applyAlignment="1">
      <alignment horizontal="center"/>
    </xf>
    <xf numFmtId="43" fontId="0" fillId="0" borderId="0" xfId="14" applyFont="1"/>
    <xf numFmtId="164" fontId="0" fillId="0" borderId="7" xfId="0" applyNumberFormat="1" applyBorder="1" applyAlignment="1">
      <alignment horizontal="center"/>
    </xf>
    <xf numFmtId="44" fontId="7" fillId="0" borderId="9" xfId="1" applyFont="1" applyBorder="1" applyAlignment="1">
      <alignment horizontal="center"/>
    </xf>
    <xf numFmtId="44" fontId="18" fillId="0" borderId="28" xfId="0" applyNumberFormat="1" applyFont="1" applyBorder="1" applyAlignment="1">
      <alignment horizontal="center"/>
    </xf>
    <xf numFmtId="44" fontId="18" fillId="0" borderId="8" xfId="0" applyNumberFormat="1" applyFont="1" applyBorder="1" applyAlignment="1">
      <alignment horizontal="center"/>
    </xf>
    <xf numFmtId="44" fontId="0" fillId="0" borderId="8" xfId="1" applyFont="1" applyFill="1" applyBorder="1" applyAlignment="1">
      <alignment horizontal="right"/>
    </xf>
    <xf numFmtId="44" fontId="0" fillId="0" borderId="8" xfId="1" applyFont="1" applyBorder="1" applyAlignment="1">
      <alignment horizontal="right"/>
    </xf>
    <xf numFmtId="9" fontId="0" fillId="0" borderId="8" xfId="21" applyFont="1" applyFill="1" applyBorder="1" applyAlignment="1">
      <alignment horizontal="center"/>
    </xf>
    <xf numFmtId="169" fontId="0" fillId="0" borderId="13" xfId="0" applyNumberFormat="1" applyBorder="1"/>
    <xf numFmtId="0" fontId="0" fillId="0" borderId="1" xfId="0" applyBorder="1"/>
    <xf numFmtId="169" fontId="0" fillId="0" borderId="11" xfId="0" applyNumberFormat="1" applyBorder="1"/>
    <xf numFmtId="169" fontId="11" fillId="0" borderId="10" xfId="0" applyNumberFormat="1" applyFont="1" applyBorder="1"/>
    <xf numFmtId="169" fontId="11" fillId="0" borderId="11" xfId="0" applyNumberFormat="1" applyFont="1" applyBorder="1"/>
    <xf numFmtId="170" fontId="0" fillId="0" borderId="12" xfId="0" applyNumberFormat="1" applyBorder="1"/>
    <xf numFmtId="16" fontId="0" fillId="0" borderId="0" xfId="0" applyNumberFormat="1" applyAlignment="1">
      <alignment horizontal="center"/>
    </xf>
    <xf numFmtId="175" fontId="0" fillId="0" borderId="0" xfId="0" applyNumberFormat="1"/>
    <xf numFmtId="174" fontId="6" fillId="0" borderId="14" xfId="1" applyNumberFormat="1" applyFont="1" applyFill="1" applyBorder="1" applyAlignment="1">
      <alignment horizontal="center"/>
    </xf>
    <xf numFmtId="171" fontId="6" fillId="0" borderId="14" xfId="1" applyNumberFormat="1" applyFont="1" applyFill="1" applyBorder="1" applyAlignment="1">
      <alignment horizontal="center"/>
    </xf>
    <xf numFmtId="171" fontId="6" fillId="0" borderId="13" xfId="1" applyNumberFormat="1" applyFont="1" applyFill="1" applyBorder="1" applyAlignment="1">
      <alignment horizontal="center"/>
    </xf>
    <xf numFmtId="164" fontId="0" fillId="9" borderId="0" xfId="1" applyNumberFormat="1" applyFont="1" applyFill="1" applyBorder="1"/>
    <xf numFmtId="164" fontId="0" fillId="9" borderId="14" xfId="1" applyNumberFormat="1" applyFont="1" applyFill="1" applyBorder="1"/>
    <xf numFmtId="164" fontId="0" fillId="9" borderId="4" xfId="1" applyNumberFormat="1" applyFont="1" applyFill="1" applyBorder="1"/>
    <xf numFmtId="164" fontId="0" fillId="9" borderId="5" xfId="1" applyNumberFormat="1" applyFont="1" applyFill="1" applyBorder="1"/>
    <xf numFmtId="164" fontId="5" fillId="9" borderId="0" xfId="1" applyNumberFormat="1" applyFont="1" applyFill="1" applyBorder="1"/>
    <xf numFmtId="9" fontId="11" fillId="0" borderId="9" xfId="21" applyFont="1" applyFill="1" applyBorder="1"/>
    <xf numFmtId="2" fontId="0" fillId="0" borderId="9" xfId="0" applyNumberFormat="1" applyBorder="1" applyAlignment="1">
      <alignment horizontal="center"/>
    </xf>
    <xf numFmtId="44" fontId="18" fillId="0" borderId="29" xfId="0" applyNumberFormat="1" applyFont="1" applyBorder="1" applyAlignment="1">
      <alignment horizontal="center"/>
    </xf>
    <xf numFmtId="9" fontId="0" fillId="0" borderId="9" xfId="0" applyNumberFormat="1" applyBorder="1"/>
    <xf numFmtId="167" fontId="5" fillId="0" borderId="2" xfId="21" applyNumberFormat="1" applyFont="1" applyFill="1" applyBorder="1" applyAlignment="1">
      <alignment horizontal="center"/>
    </xf>
    <xf numFmtId="164" fontId="5" fillId="9" borderId="2" xfId="1" applyNumberFormat="1" applyFont="1" applyFill="1" applyBorder="1"/>
    <xf numFmtId="164" fontId="3" fillId="9" borderId="5" xfId="1" applyNumberFormat="1" applyFont="1" applyFill="1" applyBorder="1"/>
    <xf numFmtId="0" fontId="18" fillId="0" borderId="13" xfId="0" applyFont="1" applyBorder="1"/>
    <xf numFmtId="164" fontId="11" fillId="6" borderId="8" xfId="0" applyNumberFormat="1" applyFont="1" applyFill="1" applyBorder="1"/>
    <xf numFmtId="164" fontId="11" fillId="6" borderId="7" xfId="0" applyNumberFormat="1" applyFont="1" applyFill="1" applyBorder="1"/>
    <xf numFmtId="10" fontId="0" fillId="0" borderId="0" xfId="21" applyNumberFormat="1" applyFont="1"/>
    <xf numFmtId="6" fontId="0" fillId="0" borderId="10" xfId="0" applyNumberFormat="1" applyBorder="1"/>
    <xf numFmtId="9" fontId="0" fillId="0" borderId="0" xfId="21" applyFont="1" applyBorder="1"/>
    <xf numFmtId="1" fontId="0" fillId="0" borderId="0" xfId="0" applyNumberFormat="1"/>
    <xf numFmtId="5" fontId="0" fillId="0" borderId="0" xfId="14" applyNumberFormat="1" applyFont="1"/>
    <xf numFmtId="16" fontId="0" fillId="0" borderId="0" xfId="0" applyNumberFormat="1"/>
    <xf numFmtId="16" fontId="0" fillId="0" borderId="1" xfId="0" applyNumberFormat="1" applyBorder="1" applyAlignment="1">
      <alignment horizontal="center"/>
    </xf>
    <xf numFmtId="16" fontId="0" fillId="0" borderId="7" xfId="0" applyNumberFormat="1" applyBorder="1" applyAlignment="1">
      <alignment horizontal="center"/>
    </xf>
    <xf numFmtId="5" fontId="0" fillId="0" borderId="8" xfId="14" applyNumberFormat="1" applyFont="1" applyBorder="1"/>
    <xf numFmtId="10" fontId="0" fillId="0" borderId="1" xfId="0" applyNumberFormat="1" applyBorder="1"/>
    <xf numFmtId="5" fontId="0" fillId="0" borderId="14" xfId="14" applyNumberFormat="1" applyFont="1" applyBorder="1"/>
    <xf numFmtId="5" fontId="0" fillId="0" borderId="7" xfId="14" applyNumberFormat="1" applyFont="1" applyBorder="1"/>
    <xf numFmtId="5" fontId="0" fillId="0" borderId="1" xfId="14" applyNumberFormat="1" applyFont="1" applyBorder="1"/>
    <xf numFmtId="5" fontId="0" fillId="0" borderId="4" xfId="14" applyNumberFormat="1" applyFont="1" applyBorder="1"/>
    <xf numFmtId="16" fontId="0" fillId="0" borderId="4" xfId="0" applyNumberFormat="1" applyBorder="1" applyAlignment="1">
      <alignment horizontal="center"/>
    </xf>
    <xf numFmtId="0" fontId="0" fillId="0" borderId="5" xfId="0" applyBorder="1" applyAlignment="1">
      <alignment horizontal="right"/>
    </xf>
    <xf numFmtId="5" fontId="0" fillId="0" borderId="13" xfId="14" applyNumberFormat="1" applyFont="1" applyBorder="1"/>
    <xf numFmtId="5" fontId="0" fillId="0" borderId="10" xfId="14" applyNumberFormat="1" applyFont="1" applyBorder="1"/>
    <xf numFmtId="5" fontId="0" fillId="0" borderId="11" xfId="14" applyNumberFormat="1" applyFont="1" applyBorder="1"/>
    <xf numFmtId="5" fontId="0" fillId="0" borderId="12" xfId="14" applyNumberFormat="1" applyFont="1" applyBorder="1"/>
    <xf numFmtId="16" fontId="0" fillId="0" borderId="14" xfId="0" applyNumberFormat="1" applyBorder="1" applyAlignment="1">
      <alignment horizontal="center"/>
    </xf>
    <xf numFmtId="0" fontId="19" fillId="0" borderId="10" xfId="0" applyFont="1" applyBorder="1" applyAlignment="1">
      <alignment horizontal="center"/>
    </xf>
    <xf numFmtId="0" fontId="18" fillId="0" borderId="9" xfId="0" applyFont="1" applyBorder="1" applyAlignment="1">
      <alignment horizontal="center"/>
    </xf>
    <xf numFmtId="0" fontId="19" fillId="0" borderId="0" xfId="0" applyFont="1"/>
    <xf numFmtId="5" fontId="0" fillId="0" borderId="2" xfId="14" applyNumberFormat="1" applyFont="1" applyBorder="1"/>
    <xf numFmtId="5" fontId="0" fillId="0" borderId="5" xfId="14" applyNumberFormat="1" applyFont="1" applyBorder="1"/>
    <xf numFmtId="5" fontId="0" fillId="0" borderId="0" xfId="14" applyNumberFormat="1" applyFont="1" applyBorder="1"/>
    <xf numFmtId="169" fontId="0" fillId="0" borderId="5" xfId="0" applyNumberFormat="1" applyBorder="1" applyAlignment="1">
      <alignment horizontal="right"/>
    </xf>
    <xf numFmtId="169" fontId="0" fillId="0" borderId="5" xfId="0" applyNumberFormat="1" applyBorder="1" applyAlignment="1">
      <alignment horizontal="left"/>
    </xf>
    <xf numFmtId="16" fontId="0" fillId="0" borderId="10" xfId="0" applyNumberFormat="1" applyBorder="1" applyAlignment="1">
      <alignment horizontal="center"/>
    </xf>
    <xf numFmtId="0" fontId="11" fillId="0" borderId="10" xfId="0" applyFont="1" applyBorder="1" applyAlignment="1">
      <alignment horizontal="right"/>
    </xf>
    <xf numFmtId="5" fontId="11" fillId="0" borderId="10" xfId="14" applyNumberFormat="1" applyFont="1" applyBorder="1"/>
    <xf numFmtId="169" fontId="22" fillId="0" borderId="1" xfId="0" applyNumberFormat="1" applyFont="1" applyBorder="1" applyAlignment="1">
      <alignment horizontal="center"/>
    </xf>
    <xf numFmtId="169" fontId="22" fillId="0" borderId="11" xfId="0" applyNumberFormat="1" applyFont="1" applyBorder="1" applyAlignment="1">
      <alignment horizontal="center"/>
    </xf>
    <xf numFmtId="0" fontId="23" fillId="0" borderId="0" xfId="0" applyFont="1"/>
    <xf numFmtId="5" fontId="22" fillId="0" borderId="1" xfId="0" applyNumberFormat="1" applyFont="1" applyBorder="1" applyAlignment="1">
      <alignment horizontal="center"/>
    </xf>
    <xf numFmtId="5" fontId="22" fillId="0" borderId="11" xfId="0" applyNumberFormat="1" applyFont="1" applyBorder="1" applyAlignment="1">
      <alignment horizontal="center"/>
    </xf>
    <xf numFmtId="0" fontId="23" fillId="0" borderId="0" xfId="0" applyFont="1" applyAlignment="1">
      <alignment horizontal="center"/>
    </xf>
    <xf numFmtId="0" fontId="18" fillId="0" borderId="10" xfId="0" applyFont="1" applyBorder="1"/>
    <xf numFmtId="16" fontId="0" fillId="0" borderId="11" xfId="0" applyNumberFormat="1" applyBorder="1" applyAlignment="1">
      <alignment horizontal="center"/>
    </xf>
    <xf numFmtId="16" fontId="0" fillId="0" borderId="12" xfId="0" applyNumberFormat="1" applyBorder="1" applyAlignment="1">
      <alignment horizontal="center"/>
    </xf>
    <xf numFmtId="0" fontId="18" fillId="0" borderId="12" xfId="0" applyFont="1" applyBorder="1"/>
    <xf numFmtId="169" fontId="0" fillId="0" borderId="12" xfId="0" applyNumberFormat="1" applyBorder="1"/>
    <xf numFmtId="169" fontId="0" fillId="0" borderId="0" xfId="0" applyNumberFormat="1" applyAlignment="1">
      <alignment horizontal="left"/>
    </xf>
    <xf numFmtId="169" fontId="0" fillId="0" borderId="2" xfId="0" applyNumberFormat="1" applyBorder="1" applyAlignment="1">
      <alignment horizontal="left"/>
    </xf>
    <xf numFmtId="16" fontId="0" fillId="0" borderId="13" xfId="0" applyNumberFormat="1" applyBorder="1" applyAlignment="1">
      <alignment horizontal="center"/>
    </xf>
    <xf numFmtId="169" fontId="0" fillId="4" borderId="10" xfId="0" applyNumberFormat="1" applyFill="1" applyBorder="1"/>
    <xf numFmtId="5" fontId="0" fillId="4" borderId="10" xfId="14" applyNumberFormat="1" applyFont="1" applyFill="1" applyBorder="1"/>
    <xf numFmtId="0" fontId="0" fillId="4" borderId="2" xfId="0" applyFill="1" applyBorder="1"/>
    <xf numFmtId="0" fontId="0" fillId="4" borderId="7" xfId="0" applyFill="1" applyBorder="1"/>
    <xf numFmtId="0" fontId="0" fillId="4" borderId="8" xfId="0" applyFill="1" applyBorder="1"/>
    <xf numFmtId="169" fontId="0" fillId="4" borderId="8" xfId="0" applyNumberFormat="1" applyFill="1" applyBorder="1"/>
    <xf numFmtId="5" fontId="0" fillId="4" borderId="8" xfId="14" applyNumberFormat="1" applyFont="1" applyFill="1" applyBorder="1"/>
    <xf numFmtId="0" fontId="0" fillId="0" borderId="7" xfId="0" quotePrefix="1" applyBorder="1" applyAlignment="1">
      <alignment horizontal="center"/>
    </xf>
    <xf numFmtId="0" fontId="18" fillId="10" borderId="8" xfId="0" applyFont="1" applyFill="1" applyBorder="1"/>
    <xf numFmtId="169" fontId="18" fillId="10" borderId="8" xfId="0" applyNumberFormat="1" applyFont="1" applyFill="1" applyBorder="1"/>
    <xf numFmtId="5" fontId="18" fillId="10" borderId="8" xfId="0" applyNumberFormat="1" applyFont="1" applyFill="1" applyBorder="1"/>
    <xf numFmtId="0" fontId="18" fillId="0" borderId="7" xfId="0" applyFont="1" applyBorder="1"/>
    <xf numFmtId="0" fontId="18" fillId="0" borderId="31" xfId="0" applyFont="1" applyBorder="1"/>
    <xf numFmtId="0" fontId="18" fillId="0" borderId="8" xfId="0" applyFont="1" applyBorder="1"/>
    <xf numFmtId="0" fontId="18" fillId="0" borderId="5" xfId="0" applyFont="1" applyBorder="1"/>
    <xf numFmtId="169" fontId="18" fillId="0" borderId="5" xfId="0" applyNumberFormat="1" applyFont="1" applyBorder="1"/>
    <xf numFmtId="5" fontId="18" fillId="0" borderId="5" xfId="0" applyNumberFormat="1" applyFont="1" applyBorder="1"/>
    <xf numFmtId="5" fontId="18" fillId="10" borderId="8" xfId="0" applyNumberFormat="1" applyFont="1" applyFill="1" applyBorder="1" applyAlignment="1">
      <alignment horizontal="center"/>
    </xf>
    <xf numFmtId="5" fontId="18" fillId="0" borderId="5" xfId="0" applyNumberFormat="1" applyFont="1" applyBorder="1" applyAlignment="1">
      <alignment horizontal="center"/>
    </xf>
    <xf numFmtId="169" fontId="0" fillId="0" borderId="2" xfId="0" applyNumberFormat="1" applyBorder="1" applyAlignment="1">
      <alignment horizontal="center"/>
    </xf>
    <xf numFmtId="169" fontId="0" fillId="0" borderId="0" xfId="0" applyNumberFormat="1" applyAlignment="1">
      <alignment horizontal="center"/>
    </xf>
    <xf numFmtId="169" fontId="0" fillId="0" borderId="5" xfId="0" applyNumberFormat="1" applyBorder="1" applyAlignment="1">
      <alignment horizontal="center"/>
    </xf>
    <xf numFmtId="5" fontId="0" fillId="0" borderId="10" xfId="14" applyNumberFormat="1" applyFont="1" applyFill="1" applyBorder="1"/>
    <xf numFmtId="0" fontId="0" fillId="4" borderId="0" xfId="0" applyFill="1"/>
    <xf numFmtId="169" fontId="18" fillId="0" borderId="0" xfId="0" applyNumberFormat="1" applyFont="1"/>
    <xf numFmtId="5" fontId="18" fillId="0" borderId="0" xfId="0" applyNumberFormat="1" applyFont="1" applyAlignment="1">
      <alignment horizontal="center"/>
    </xf>
    <xf numFmtId="5" fontId="18" fillId="0" borderId="0" xfId="0" applyNumberFormat="1" applyFont="1"/>
    <xf numFmtId="169" fontId="18" fillId="0" borderId="8" xfId="0" applyNumberFormat="1" applyFont="1" applyBorder="1"/>
    <xf numFmtId="5" fontId="18" fillId="0" borderId="8" xfId="0" applyNumberFormat="1" applyFont="1" applyBorder="1" applyAlignment="1">
      <alignment horizontal="center"/>
    </xf>
    <xf numFmtId="5" fontId="18" fillId="0" borderId="8" xfId="0" applyNumberFormat="1" applyFont="1" applyBorder="1"/>
    <xf numFmtId="5" fontId="0" fillId="0" borderId="0" xfId="14" applyNumberFormat="1" applyFont="1" applyFill="1" applyBorder="1"/>
    <xf numFmtId="169" fontId="0" fillId="4" borderId="0" xfId="0" applyNumberFormat="1" applyFill="1"/>
    <xf numFmtId="169" fontId="0" fillId="4" borderId="5" xfId="0" applyNumberFormat="1" applyFill="1" applyBorder="1"/>
    <xf numFmtId="0" fontId="0" fillId="5" borderId="10" xfId="0" applyFill="1" applyBorder="1"/>
    <xf numFmtId="5" fontId="0" fillId="5" borderId="10" xfId="14" applyNumberFormat="1" applyFont="1" applyFill="1" applyBorder="1"/>
    <xf numFmtId="0" fontId="0" fillId="5" borderId="2" xfId="0" applyFill="1" applyBorder="1"/>
    <xf numFmtId="0" fontId="0" fillId="5" borderId="0" xfId="0" applyFill="1"/>
    <xf numFmtId="0" fontId="0" fillId="5" borderId="5" xfId="0" applyFill="1" applyBorder="1"/>
    <xf numFmtId="5" fontId="0" fillId="5" borderId="2" xfId="14" applyNumberFormat="1" applyFont="1" applyFill="1" applyBorder="1"/>
    <xf numFmtId="5" fontId="0" fillId="5" borderId="0" xfId="14" applyNumberFormat="1" applyFont="1" applyFill="1" applyBorder="1"/>
    <xf numFmtId="5" fontId="0" fillId="5" borderId="5" xfId="14" applyNumberFormat="1" applyFont="1" applyFill="1" applyBorder="1"/>
    <xf numFmtId="0" fontId="0" fillId="11" borderId="11" xfId="0" applyFill="1" applyBorder="1"/>
    <xf numFmtId="0" fontId="0" fillId="11" borderId="2" xfId="0" applyFill="1" applyBorder="1"/>
    <xf numFmtId="5" fontId="0" fillId="11" borderId="2" xfId="14" applyNumberFormat="1" applyFont="1" applyFill="1" applyBorder="1"/>
    <xf numFmtId="5" fontId="0" fillId="11" borderId="5" xfId="14" applyNumberFormat="1" applyFont="1" applyFill="1" applyBorder="1"/>
    <xf numFmtId="0" fontId="0" fillId="11" borderId="2" xfId="0" applyFill="1" applyBorder="1" applyAlignment="1">
      <alignment horizontal="left"/>
    </xf>
    <xf numFmtId="0" fontId="0" fillId="11" borderId="8" xfId="0" applyFill="1" applyBorder="1"/>
    <xf numFmtId="0" fontId="0" fillId="11" borderId="12" xfId="0" applyFill="1" applyBorder="1"/>
    <xf numFmtId="5" fontId="0" fillId="11" borderId="8" xfId="14" applyNumberFormat="1" applyFont="1" applyFill="1" applyBorder="1"/>
    <xf numFmtId="0" fontId="0" fillId="11" borderId="0" xfId="0" applyFill="1" applyAlignment="1">
      <alignment horizontal="left"/>
    </xf>
    <xf numFmtId="10" fontId="0" fillId="0" borderId="0" xfId="0" applyNumberFormat="1" applyAlignment="1">
      <alignment horizontal="left"/>
    </xf>
    <xf numFmtId="0" fontId="0" fillId="11" borderId="5" xfId="0" applyFill="1" applyBorder="1" applyAlignment="1">
      <alignment horizontal="left"/>
    </xf>
    <xf numFmtId="5" fontId="11" fillId="0" borderId="0" xfId="14" applyNumberFormat="1" applyFont="1" applyBorder="1"/>
    <xf numFmtId="0" fontId="0" fillId="12" borderId="10" xfId="0" applyFill="1" applyBorder="1"/>
    <xf numFmtId="0" fontId="0" fillId="12" borderId="8" xfId="0" applyFill="1" applyBorder="1"/>
    <xf numFmtId="0" fontId="0" fillId="0" borderId="10" xfId="0" applyBorder="1" applyAlignment="1">
      <alignment horizontal="left"/>
    </xf>
    <xf numFmtId="169" fontId="0" fillId="4" borderId="8" xfId="1" applyNumberFormat="1" applyFont="1" applyFill="1" applyBorder="1" applyAlignment="1">
      <alignment horizontal="center"/>
    </xf>
    <xf numFmtId="169" fontId="0" fillId="0" borderId="5" xfId="1" applyNumberFormat="1" applyFont="1" applyBorder="1" applyAlignment="1">
      <alignment horizontal="center"/>
    </xf>
    <xf numFmtId="0" fontId="0" fillId="12" borderId="12" xfId="0" applyFill="1" applyBorder="1"/>
    <xf numFmtId="0" fontId="0" fillId="12" borderId="2" xfId="0" applyFill="1" applyBorder="1"/>
    <xf numFmtId="0" fontId="24" fillId="0" borderId="0" xfId="0" applyFont="1"/>
    <xf numFmtId="0" fontId="18" fillId="0" borderId="14" xfId="0" applyFont="1" applyBorder="1"/>
    <xf numFmtId="0" fontId="0" fillId="13" borderId="0" xfId="0" applyFill="1"/>
    <xf numFmtId="0" fontId="0" fillId="13" borderId="10" xfId="0" applyFill="1" applyBorder="1"/>
    <xf numFmtId="169" fontId="11" fillId="0" borderId="0" xfId="0" applyNumberFormat="1" applyFont="1"/>
    <xf numFmtId="0" fontId="25" fillId="0" borderId="0" xfId="0" applyFont="1" applyAlignment="1">
      <alignment horizontal="center"/>
    </xf>
    <xf numFmtId="5" fontId="0" fillId="4" borderId="11" xfId="14" applyNumberFormat="1" applyFont="1" applyFill="1" applyBorder="1"/>
    <xf numFmtId="5" fontId="0" fillId="0" borderId="3" xfId="14" applyNumberFormat="1" applyFont="1" applyBorder="1"/>
    <xf numFmtId="5" fontId="0" fillId="0" borderId="6" xfId="14" applyNumberFormat="1" applyFont="1" applyBorder="1"/>
    <xf numFmtId="0" fontId="26" fillId="0" borderId="0" xfId="0" applyFont="1"/>
    <xf numFmtId="169" fontId="0" fillId="0" borderId="14" xfId="0" applyNumberFormat="1" applyBorder="1"/>
    <xf numFmtId="169" fontId="0" fillId="0" borderId="15" xfId="0" applyNumberFormat="1" applyBorder="1"/>
    <xf numFmtId="169" fontId="0" fillId="0" borderId="6" xfId="0" applyNumberFormat="1" applyBorder="1"/>
    <xf numFmtId="0" fontId="27" fillId="0" borderId="0" xfId="0" applyFont="1"/>
    <xf numFmtId="16" fontId="0" fillId="0" borderId="10" xfId="0" quotePrefix="1" applyNumberFormat="1" applyBorder="1" applyAlignment="1">
      <alignment horizontal="center"/>
    </xf>
    <xf numFmtId="0" fontId="28" fillId="0" borderId="0" xfId="0" applyFont="1"/>
    <xf numFmtId="0" fontId="0" fillId="13" borderId="2" xfId="0" applyFill="1" applyBorder="1" applyAlignment="1">
      <alignment horizontal="left"/>
    </xf>
    <xf numFmtId="0" fontId="0" fillId="13" borderId="11" xfId="0" applyFill="1" applyBorder="1"/>
    <xf numFmtId="0" fontId="0" fillId="13" borderId="13" xfId="0" applyFill="1" applyBorder="1"/>
    <xf numFmtId="0" fontId="0" fillId="14" borderId="10" xfId="0" applyFill="1" applyBorder="1"/>
    <xf numFmtId="0" fontId="0" fillId="15" borderId="11" xfId="0" applyFill="1" applyBorder="1"/>
    <xf numFmtId="5" fontId="0" fillId="4" borderId="12" xfId="14" applyNumberFormat="1" applyFont="1" applyFill="1" applyBorder="1"/>
    <xf numFmtId="0" fontId="0" fillId="15" borderId="2" xfId="0" applyFill="1" applyBorder="1"/>
    <xf numFmtId="0" fontId="19" fillId="0" borderId="11" xfId="0" applyFont="1" applyBorder="1" applyAlignment="1">
      <alignment horizontal="center"/>
    </xf>
    <xf numFmtId="0" fontId="19" fillId="0" borderId="13" xfId="0" applyFont="1" applyBorder="1" applyAlignment="1">
      <alignment horizontal="center"/>
    </xf>
    <xf numFmtId="167" fontId="0" fillId="0" borderId="10" xfId="21" applyNumberFormat="1" applyFont="1" applyBorder="1"/>
    <xf numFmtId="0" fontId="29" fillId="0" borderId="10" xfId="0" applyFont="1" applyBorder="1" applyAlignment="1">
      <alignment horizontal="center"/>
    </xf>
    <xf numFmtId="9" fontId="0" fillId="0" borderId="0" xfId="21" applyFont="1"/>
    <xf numFmtId="9" fontId="2" fillId="0" borderId="10" xfId="21" applyFont="1" applyBorder="1"/>
    <xf numFmtId="170" fontId="0" fillId="0" borderId="7" xfId="0" applyNumberFormat="1" applyBorder="1" applyAlignment="1">
      <alignment horizontal="right"/>
    </xf>
    <xf numFmtId="9" fontId="0" fillId="0" borderId="8" xfId="21" applyFont="1" applyBorder="1" applyAlignment="1">
      <alignment horizontal="right"/>
    </xf>
    <xf numFmtId="9" fontId="4" fillId="0" borderId="9" xfId="21" applyFont="1" applyBorder="1" applyAlignment="1">
      <alignment horizontal="right"/>
    </xf>
    <xf numFmtId="0" fontId="0" fillId="0" borderId="10" xfId="0" applyBorder="1" applyAlignment="1">
      <alignment horizontal="right"/>
    </xf>
    <xf numFmtId="169" fontId="0" fillId="0" borderId="7" xfId="0" applyNumberFormat="1" applyBorder="1" applyAlignment="1">
      <alignment horizontal="right"/>
    </xf>
    <xf numFmtId="0" fontId="30" fillId="0" borderId="0" xfId="0" applyFont="1"/>
    <xf numFmtId="0" fontId="29" fillId="0" borderId="7" xfId="0" applyFont="1" applyBorder="1" applyAlignment="1">
      <alignment horizontal="center"/>
    </xf>
    <xf numFmtId="0" fontId="29" fillId="0" borderId="0" xfId="0" applyFont="1" applyAlignment="1">
      <alignment horizontal="center"/>
    </xf>
    <xf numFmtId="0" fontId="29" fillId="0" borderId="11" xfId="0" applyFont="1" applyBorder="1" applyAlignment="1">
      <alignment horizontal="center"/>
    </xf>
    <xf numFmtId="0" fontId="29" fillId="0" borderId="13" xfId="0" applyFont="1" applyBorder="1" applyAlignment="1">
      <alignment horizontal="center"/>
    </xf>
    <xf numFmtId="0" fontId="29" fillId="0" borderId="12" xfId="0" applyFont="1" applyBorder="1" applyAlignment="1">
      <alignment horizontal="center"/>
    </xf>
    <xf numFmtId="0" fontId="22" fillId="0" borderId="11" xfId="0" applyFont="1" applyBorder="1" applyAlignment="1">
      <alignment horizontal="center"/>
    </xf>
    <xf numFmtId="44" fontId="0" fillId="16" borderId="14" xfId="1" applyFont="1" applyFill="1" applyBorder="1" applyAlignment="1">
      <alignment horizontal="center"/>
    </xf>
    <xf numFmtId="0" fontId="0" fillId="0" borderId="13" xfId="0" quotePrefix="1" applyBorder="1"/>
    <xf numFmtId="0" fontId="11" fillId="0" borderId="2" xfId="0" applyFont="1" applyBorder="1" applyAlignment="1">
      <alignment horizontal="left"/>
    </xf>
    <xf numFmtId="9" fontId="0" fillId="0" borderId="6" xfId="21" applyFont="1" applyBorder="1"/>
    <xf numFmtId="0" fontId="31" fillId="0" borderId="0" xfId="0" applyFont="1"/>
    <xf numFmtId="0" fontId="32" fillId="0" borderId="0" xfId="0" applyFont="1"/>
    <xf numFmtId="0" fontId="33" fillId="0" borderId="0" xfId="0" applyFont="1"/>
    <xf numFmtId="169" fontId="0" fillId="0" borderId="10" xfId="0" applyNumberFormat="1" applyBorder="1" applyAlignment="1">
      <alignment horizontal="right"/>
    </xf>
    <xf numFmtId="164" fontId="0" fillId="0" borderId="10" xfId="0" applyNumberFormat="1" applyBorder="1" applyAlignment="1">
      <alignment horizontal="center"/>
    </xf>
    <xf numFmtId="0" fontId="0" fillId="0" borderId="7" xfId="0" applyBorder="1" applyAlignment="1">
      <alignment horizontal="left"/>
    </xf>
    <xf numFmtId="0" fontId="11" fillId="0" borderId="7" xfId="0" applyFont="1" applyBorder="1" applyAlignment="1">
      <alignment horizontal="left"/>
    </xf>
    <xf numFmtId="0" fontId="0" fillId="0" borderId="4" xfId="0" applyBorder="1" applyAlignment="1">
      <alignment horizontal="left"/>
    </xf>
    <xf numFmtId="0" fontId="11" fillId="3" borderId="10" xfId="0" applyFont="1" applyFill="1" applyBorder="1" applyAlignment="1">
      <alignment horizontal="center"/>
    </xf>
    <xf numFmtId="0" fontId="19" fillId="3" borderId="9" xfId="0" applyFont="1" applyFill="1" applyBorder="1" applyAlignment="1">
      <alignment horizontal="center"/>
    </xf>
    <xf numFmtId="0" fontId="0" fillId="0" borderId="32" xfId="0" applyBorder="1"/>
    <xf numFmtId="169" fontId="0" fillId="0" borderId="32" xfId="0" applyNumberFormat="1" applyBorder="1"/>
    <xf numFmtId="5" fontId="0" fillId="0" borderId="33" xfId="14" applyNumberFormat="1" applyFont="1" applyBorder="1"/>
    <xf numFmtId="5" fontId="0" fillId="0" borderId="34" xfId="14" applyNumberFormat="1" applyFont="1" applyBorder="1"/>
    <xf numFmtId="16" fontId="0" fillId="0" borderId="35" xfId="0" applyNumberFormat="1" applyBorder="1" applyAlignment="1">
      <alignment horizontal="center"/>
    </xf>
    <xf numFmtId="0" fontId="0" fillId="0" borderId="36" xfId="0" applyBorder="1"/>
    <xf numFmtId="169" fontId="0" fillId="0" borderId="36" xfId="0" applyNumberFormat="1" applyBorder="1"/>
    <xf numFmtId="5" fontId="0" fillId="0" borderId="37" xfId="14" applyNumberFormat="1" applyFont="1" applyBorder="1"/>
    <xf numFmtId="5" fontId="0" fillId="0" borderId="38" xfId="14" applyNumberFormat="1" applyFont="1" applyBorder="1"/>
    <xf numFmtId="16" fontId="0" fillId="0" borderId="39" xfId="0" applyNumberFormat="1" applyBorder="1" applyAlignment="1">
      <alignment horizontal="center"/>
    </xf>
    <xf numFmtId="0" fontId="0" fillId="0" borderId="40" xfId="0" applyBorder="1"/>
    <xf numFmtId="169" fontId="0" fillId="0" borderId="40" xfId="0" applyNumberFormat="1" applyBorder="1"/>
    <xf numFmtId="16" fontId="0" fillId="0" borderId="41" xfId="0" applyNumberFormat="1" applyBorder="1" applyAlignment="1">
      <alignment horizontal="center"/>
    </xf>
    <xf numFmtId="0" fontId="0" fillId="0" borderId="42" xfId="0" applyBorder="1"/>
    <xf numFmtId="169" fontId="0" fillId="0" borderId="42" xfId="0" applyNumberFormat="1" applyBorder="1"/>
    <xf numFmtId="0" fontId="0" fillId="0" borderId="43" xfId="0" applyBorder="1"/>
    <xf numFmtId="5" fontId="0" fillId="0" borderId="44" xfId="14" applyNumberFormat="1" applyFont="1" applyBorder="1"/>
    <xf numFmtId="5" fontId="0" fillId="0" borderId="45" xfId="14" applyNumberFormat="1" applyFont="1" applyBorder="1"/>
    <xf numFmtId="0" fontId="0" fillId="0" borderId="41" xfId="0" applyBorder="1"/>
    <xf numFmtId="0" fontId="0" fillId="0" borderId="46" xfId="0" applyBorder="1"/>
    <xf numFmtId="0" fontId="0" fillId="0" borderId="35" xfId="0" applyBorder="1"/>
    <xf numFmtId="0" fontId="0" fillId="0" borderId="47" xfId="0" applyBorder="1"/>
    <xf numFmtId="5" fontId="0" fillId="0" borderId="9" xfId="14" applyNumberFormat="1" applyFont="1" applyBorder="1"/>
    <xf numFmtId="0" fontId="0" fillId="0" borderId="48" xfId="0" applyBorder="1"/>
    <xf numFmtId="0" fontId="0" fillId="0" borderId="35" xfId="0" applyBorder="1" applyAlignment="1">
      <alignment horizontal="center"/>
    </xf>
    <xf numFmtId="9" fontId="0" fillId="0" borderId="15" xfId="21" quotePrefix="1" applyFont="1" applyFill="1" applyBorder="1" applyAlignment="1">
      <alignment horizontal="center"/>
    </xf>
    <xf numFmtId="167" fontId="20" fillId="0" borderId="15" xfId="0" applyNumberFormat="1" applyFont="1" applyBorder="1" applyAlignment="1">
      <alignment horizontal="center"/>
    </xf>
    <xf numFmtId="0" fontId="0" fillId="0" borderId="50" xfId="0" applyBorder="1"/>
    <xf numFmtId="0" fontId="11" fillId="0" borderId="46" xfId="0" applyFont="1" applyBorder="1" applyAlignment="1">
      <alignment horizontal="center"/>
    </xf>
    <xf numFmtId="0" fontId="0" fillId="0" borderId="49" xfId="0" applyBorder="1"/>
    <xf numFmtId="0" fontId="0" fillId="0" borderId="36" xfId="0" applyBorder="1" applyAlignment="1">
      <alignment horizontal="center"/>
    </xf>
    <xf numFmtId="169" fontId="11" fillId="0" borderId="7" xfId="0" applyNumberFormat="1" applyFont="1" applyBorder="1" applyAlignment="1">
      <alignment horizontal="center"/>
    </xf>
    <xf numFmtId="9" fontId="1" fillId="0" borderId="8" xfId="21" applyFont="1" applyBorder="1" applyAlignment="1">
      <alignment horizontal="center"/>
    </xf>
    <xf numFmtId="0" fontId="11" fillId="0" borderId="41" xfId="0" applyFont="1" applyBorder="1" applyAlignment="1">
      <alignment horizontal="center"/>
    </xf>
    <xf numFmtId="0" fontId="11" fillId="0" borderId="42" xfId="0" applyFont="1" applyBorder="1" applyAlignment="1">
      <alignment horizontal="center"/>
    </xf>
    <xf numFmtId="2" fontId="0" fillId="0" borderId="49" xfId="0" applyNumberFormat="1" applyBorder="1"/>
    <xf numFmtId="2" fontId="0" fillId="0" borderId="0" xfId="0" applyNumberFormat="1"/>
    <xf numFmtId="2" fontId="0" fillId="0" borderId="50" xfId="0" applyNumberFormat="1" applyBorder="1"/>
    <xf numFmtId="172" fontId="0" fillId="0" borderId="49" xfId="0" applyNumberFormat="1" applyBorder="1"/>
    <xf numFmtId="1" fontId="0" fillId="0" borderId="50" xfId="0" applyNumberFormat="1" applyBorder="1"/>
    <xf numFmtId="0" fontId="0" fillId="9" borderId="10" xfId="0" applyFill="1" applyBorder="1" applyAlignment="1">
      <alignment horizontal="center"/>
    </xf>
    <xf numFmtId="9" fontId="0" fillId="9" borderId="10" xfId="21" applyFont="1" applyFill="1" applyBorder="1"/>
    <xf numFmtId="169" fontId="0" fillId="9" borderId="10" xfId="0" applyNumberFormat="1" applyFill="1" applyBorder="1"/>
    <xf numFmtId="166" fontId="0" fillId="9" borderId="51" xfId="0" applyNumberFormat="1" applyFill="1" applyBorder="1"/>
    <xf numFmtId="166" fontId="0" fillId="0" borderId="51" xfId="0" applyNumberFormat="1" applyBorder="1"/>
    <xf numFmtId="0" fontId="0" fillId="0" borderId="51" xfId="0" applyBorder="1"/>
    <xf numFmtId="0" fontId="11" fillId="0" borderId="50" xfId="0" applyFont="1" applyBorder="1" applyAlignment="1">
      <alignment horizontal="center"/>
    </xf>
    <xf numFmtId="0" fontId="11" fillId="0" borderId="52" xfId="0" applyFont="1" applyBorder="1" applyAlignment="1">
      <alignment horizontal="center"/>
    </xf>
    <xf numFmtId="0" fontId="0" fillId="9" borderId="53" xfId="0" applyFill="1" applyBorder="1"/>
    <xf numFmtId="169" fontId="0" fillId="9" borderId="54" xfId="0" applyNumberFormat="1" applyFill="1" applyBorder="1"/>
    <xf numFmtId="0" fontId="0" fillId="0" borderId="53" xfId="0" applyBorder="1"/>
    <xf numFmtId="169" fontId="0" fillId="0" borderId="54" xfId="0" applyNumberFormat="1" applyBorder="1"/>
    <xf numFmtId="0" fontId="0" fillId="0" borderId="55" xfId="0" applyBorder="1"/>
    <xf numFmtId="169" fontId="0" fillId="0" borderId="56" xfId="0" applyNumberFormat="1" applyBorder="1"/>
    <xf numFmtId="169" fontId="0" fillId="0" borderId="57" xfId="0" applyNumberFormat="1" applyBorder="1"/>
    <xf numFmtId="175" fontId="0" fillId="9" borderId="53" xfId="0" applyNumberFormat="1" applyFill="1" applyBorder="1"/>
    <xf numFmtId="175" fontId="0" fillId="0" borderId="53" xfId="0" applyNumberFormat="1" applyBorder="1"/>
    <xf numFmtId="175" fontId="0" fillId="0" borderId="55" xfId="0" applyNumberFormat="1" applyBorder="1"/>
    <xf numFmtId="170" fontId="0" fillId="0" borderId="56" xfId="0" applyNumberFormat="1" applyBorder="1"/>
    <xf numFmtId="0" fontId="0" fillId="9" borderId="7" xfId="0" applyFill="1" applyBorder="1" applyAlignment="1">
      <alignment horizontal="center"/>
    </xf>
    <xf numFmtId="0" fontId="11" fillId="0" borderId="58" xfId="0" applyFont="1" applyBorder="1" applyAlignment="1">
      <alignment horizontal="center"/>
    </xf>
    <xf numFmtId="0" fontId="0" fillId="0" borderId="58" xfId="0" applyBorder="1"/>
    <xf numFmtId="9" fontId="0" fillId="0" borderId="58" xfId="21" applyFont="1" applyBorder="1"/>
    <xf numFmtId="0" fontId="11" fillId="0" borderId="59" xfId="0" applyFont="1" applyBorder="1" applyAlignment="1">
      <alignment horizontal="center"/>
    </xf>
    <xf numFmtId="169" fontId="0" fillId="9" borderId="12" xfId="0" applyNumberFormat="1" applyFill="1" applyBorder="1"/>
    <xf numFmtId="166" fontId="0" fillId="9" borderId="12" xfId="0" applyNumberFormat="1" applyFill="1" applyBorder="1" applyAlignment="1">
      <alignment horizontal="center"/>
    </xf>
    <xf numFmtId="167" fontId="1" fillId="0" borderId="13" xfId="21" applyNumberFormat="1" applyFont="1" applyBorder="1"/>
    <xf numFmtId="0" fontId="11" fillId="0" borderId="42" xfId="0" applyFont="1" applyBorder="1" applyAlignment="1">
      <alignment horizontal="center" vertical="center"/>
    </xf>
    <xf numFmtId="0" fontId="11" fillId="0" borderId="46" xfId="0" applyFont="1" applyBorder="1" applyAlignment="1">
      <alignment horizontal="center" vertical="center"/>
    </xf>
    <xf numFmtId="169" fontId="0" fillId="0" borderId="50" xfId="0" applyNumberFormat="1" applyBorder="1"/>
    <xf numFmtId="0" fontId="11" fillId="0" borderId="49" xfId="0" applyFont="1" applyBorder="1"/>
    <xf numFmtId="169" fontId="11" fillId="0" borderId="50" xfId="0" applyNumberFormat="1" applyFont="1" applyBorder="1"/>
    <xf numFmtId="0" fontId="11" fillId="0" borderId="35" xfId="0" applyFont="1" applyBorder="1"/>
    <xf numFmtId="169" fontId="11" fillId="0" borderId="36" xfId="0" applyNumberFormat="1" applyFont="1" applyBorder="1"/>
    <xf numFmtId="169" fontId="11" fillId="0" borderId="47" xfId="0" applyNumberFormat="1" applyFont="1" applyBorder="1"/>
    <xf numFmtId="0" fontId="11" fillId="0" borderId="60" xfId="0" applyFont="1" applyBorder="1" applyAlignment="1">
      <alignment horizontal="center"/>
    </xf>
    <xf numFmtId="0" fontId="11" fillId="0" borderId="61" xfId="0" applyFont="1" applyBorder="1" applyAlignment="1">
      <alignment horizontal="center"/>
    </xf>
    <xf numFmtId="0" fontId="11" fillId="0" borderId="51" xfId="0" applyFont="1" applyBorder="1" applyAlignment="1">
      <alignment horizontal="center"/>
    </xf>
    <xf numFmtId="175" fontId="0" fillId="0" borderId="51" xfId="0" applyNumberFormat="1" applyBorder="1" applyAlignment="1">
      <alignment horizontal="center"/>
    </xf>
    <xf numFmtId="167" fontId="0" fillId="0" borderId="51" xfId="21" applyNumberFormat="1" applyFont="1" applyBorder="1" applyAlignment="1">
      <alignment horizontal="center"/>
    </xf>
    <xf numFmtId="175" fontId="0" fillId="9" borderId="10" xfId="0" applyNumberFormat="1" applyFill="1" applyBorder="1" applyAlignment="1">
      <alignment horizontal="center"/>
    </xf>
    <xf numFmtId="175" fontId="0" fillId="0" borderId="10" xfId="0" applyNumberFormat="1" applyBorder="1" applyAlignment="1">
      <alignment horizontal="center"/>
    </xf>
    <xf numFmtId="16" fontId="35" fillId="0" borderId="51" xfId="0" applyNumberFormat="1" applyFont="1" applyBorder="1" applyAlignment="1">
      <alignment horizontal="center" vertical="center" wrapText="1"/>
    </xf>
    <xf numFmtId="10" fontId="35" fillId="0" borderId="51" xfId="0" applyNumberFormat="1" applyFont="1" applyBorder="1" applyAlignment="1">
      <alignment horizontal="center" vertical="center" wrapText="1"/>
    </xf>
    <xf numFmtId="169" fontId="11" fillId="9" borderId="7" xfId="0" applyNumberFormat="1" applyFont="1" applyFill="1" applyBorder="1" applyAlignment="1">
      <alignment horizontal="center"/>
    </xf>
    <xf numFmtId="169" fontId="11" fillId="9" borderId="10" xfId="0" applyNumberFormat="1" applyFont="1" applyFill="1" applyBorder="1"/>
    <xf numFmtId="0" fontId="0" fillId="11" borderId="13" xfId="0" applyFill="1" applyBorder="1"/>
    <xf numFmtId="0" fontId="0" fillId="17" borderId="10" xfId="0" applyFill="1" applyBorder="1"/>
    <xf numFmtId="0" fontId="0" fillId="17" borderId="8" xfId="0" applyFill="1" applyBorder="1"/>
    <xf numFmtId="0" fontId="0" fillId="18" borderId="2" xfId="0" applyFill="1" applyBorder="1"/>
    <xf numFmtId="0" fontId="0" fillId="18" borderId="10" xfId="0" applyFill="1" applyBorder="1"/>
    <xf numFmtId="0" fontId="0" fillId="18" borderId="0" xfId="0" applyFill="1"/>
    <xf numFmtId="166" fontId="0" fillId="0" borderId="0" xfId="0" applyNumberFormat="1"/>
    <xf numFmtId="169" fontId="18" fillId="9" borderId="11" xfId="0" applyNumberFormat="1" applyFont="1" applyFill="1" applyBorder="1"/>
    <xf numFmtId="169" fontId="18" fillId="9" borderId="13" xfId="0" applyNumberFormat="1" applyFont="1" applyFill="1" applyBorder="1"/>
    <xf numFmtId="0" fontId="19" fillId="0" borderId="0" xfId="0" applyFont="1" applyAlignment="1">
      <alignment horizontal="center"/>
    </xf>
    <xf numFmtId="0" fontId="0" fillId="19" borderId="11" xfId="0" applyFill="1" applyBorder="1"/>
    <xf numFmtId="0" fontId="0" fillId="19" borderId="10" xfId="0" applyFill="1" applyBorder="1"/>
    <xf numFmtId="0" fontId="11" fillId="0" borderId="50" xfId="0" applyFont="1" applyBorder="1"/>
    <xf numFmtId="0" fontId="1" fillId="0" borderId="0" xfId="0" applyFont="1"/>
    <xf numFmtId="0" fontId="36" fillId="0" borderId="0" xfId="0" applyFont="1"/>
    <xf numFmtId="0" fontId="1" fillId="0" borderId="42" xfId="0" applyFont="1" applyBorder="1"/>
    <xf numFmtId="0" fontId="1" fillId="0" borderId="46" xfId="0" applyFont="1" applyBorder="1"/>
    <xf numFmtId="3" fontId="1" fillId="0" borderId="0" xfId="0" applyNumberFormat="1" applyFont="1"/>
    <xf numFmtId="3" fontId="1" fillId="0" borderId="54" xfId="0" applyNumberFormat="1" applyFont="1" applyBorder="1"/>
    <xf numFmtId="3" fontId="1" fillId="0" borderId="10" xfId="0" applyNumberFormat="1" applyFont="1" applyBorder="1"/>
    <xf numFmtId="3" fontId="1" fillId="0" borderId="42" xfId="0" applyNumberFormat="1" applyFont="1" applyBorder="1"/>
    <xf numFmtId="167" fontId="1" fillId="0" borderId="42" xfId="21" applyNumberFormat="1" applyFont="1" applyBorder="1"/>
    <xf numFmtId="167" fontId="0" fillId="0" borderId="36" xfId="21" applyNumberFormat="1" applyFont="1" applyBorder="1"/>
    <xf numFmtId="3" fontId="0" fillId="0" borderId="36" xfId="0" applyNumberFormat="1" applyBorder="1"/>
    <xf numFmtId="0" fontId="1" fillId="0" borderId="41" xfId="0" applyFont="1" applyBorder="1" applyAlignment="1">
      <alignment horizontal="center"/>
    </xf>
    <xf numFmtId="9" fontId="0" fillId="0" borderId="10" xfId="21" applyFont="1" applyFill="1" applyBorder="1"/>
    <xf numFmtId="0" fontId="1" fillId="0" borderId="0" xfId="0" applyFont="1" applyAlignment="1">
      <alignment horizontal="center"/>
    </xf>
    <xf numFmtId="0" fontId="11" fillId="0" borderId="36" xfId="0" applyFont="1" applyBorder="1"/>
    <xf numFmtId="0" fontId="11" fillId="0" borderId="13" xfId="0" applyFont="1" applyBorder="1"/>
    <xf numFmtId="0" fontId="1" fillId="0" borderId="13" xfId="0" applyFont="1" applyBorder="1" applyAlignment="1">
      <alignment horizontal="center"/>
    </xf>
    <xf numFmtId="170" fontId="0" fillId="0" borderId="0" xfId="0" applyNumberFormat="1"/>
    <xf numFmtId="169" fontId="22" fillId="0" borderId="4" xfId="0" applyNumberFormat="1" applyFont="1" applyBorder="1" applyAlignment="1">
      <alignment horizontal="center"/>
    </xf>
    <xf numFmtId="169" fontId="22" fillId="0" borderId="12" xfId="0" applyNumberFormat="1" applyFont="1" applyBorder="1" applyAlignment="1">
      <alignment horizontal="center"/>
    </xf>
    <xf numFmtId="5" fontId="22" fillId="0" borderId="4" xfId="0" applyNumberFormat="1" applyFont="1" applyBorder="1" applyAlignment="1">
      <alignment horizontal="center"/>
    </xf>
    <xf numFmtId="5" fontId="22" fillId="0" borderId="12" xfId="0" applyNumberFormat="1" applyFont="1" applyBorder="1" applyAlignment="1">
      <alignment horizontal="center"/>
    </xf>
    <xf numFmtId="3" fontId="0" fillId="0" borderId="1" xfId="0" applyNumberFormat="1" applyBorder="1"/>
    <xf numFmtId="169" fontId="0" fillId="0" borderId="3" xfId="0" applyNumberFormat="1" applyBorder="1"/>
    <xf numFmtId="3" fontId="0" fillId="0" borderId="14" xfId="0" applyNumberFormat="1" applyBorder="1"/>
    <xf numFmtId="169" fontId="0" fillId="4" borderId="10" xfId="0" applyNumberFormat="1" applyFill="1" applyBorder="1" applyAlignment="1">
      <alignment horizontal="right"/>
    </xf>
    <xf numFmtId="166" fontId="18" fillId="0" borderId="13" xfId="0" applyNumberFormat="1" applyFont="1" applyBorder="1" applyAlignment="1">
      <alignment horizontal="center"/>
    </xf>
    <xf numFmtId="167" fontId="0" fillId="0" borderId="13" xfId="21" applyNumberFormat="1" applyFont="1" applyFill="1" applyBorder="1"/>
    <xf numFmtId="175" fontId="0" fillId="0" borderId="10" xfId="0" applyNumberFormat="1" applyBorder="1"/>
    <xf numFmtId="16" fontId="11" fillId="2" borderId="4" xfId="0" applyNumberFormat="1" applyFont="1" applyFill="1" applyBorder="1" applyAlignment="1">
      <alignment horizontal="center"/>
    </xf>
    <xf numFmtId="0" fontId="0" fillId="19" borderId="2" xfId="0" applyFill="1" applyBorder="1"/>
    <xf numFmtId="0" fontId="0" fillId="11" borderId="0" xfId="0" applyFill="1"/>
    <xf numFmtId="5" fontId="0" fillId="11" borderId="15" xfId="14" applyNumberFormat="1" applyFont="1" applyFill="1" applyBorder="1"/>
    <xf numFmtId="5" fontId="0" fillId="11" borderId="6" xfId="14" applyNumberFormat="1" applyFont="1" applyFill="1" applyBorder="1"/>
    <xf numFmtId="5" fontId="11" fillId="0" borderId="7" xfId="14" applyNumberFormat="1" applyFont="1" applyBorder="1"/>
    <xf numFmtId="169" fontId="18" fillId="0" borderId="11" xfId="0" applyNumberFormat="1" applyFont="1" applyBorder="1"/>
    <xf numFmtId="169" fontId="18" fillId="0" borderId="13" xfId="0" applyNumberFormat="1" applyFont="1" applyBorder="1"/>
    <xf numFmtId="0" fontId="18" fillId="0" borderId="12" xfId="0" applyFont="1" applyBorder="1" applyAlignment="1">
      <alignment horizontal="center"/>
    </xf>
    <xf numFmtId="16" fontId="0" fillId="0" borderId="49" xfId="0" applyNumberFormat="1" applyBorder="1" applyAlignment="1">
      <alignment horizontal="center"/>
    </xf>
    <xf numFmtId="0" fontId="0" fillId="0" borderId="62" xfId="0" applyBorder="1"/>
    <xf numFmtId="169" fontId="0" fillId="0" borderId="62" xfId="0" applyNumberFormat="1" applyBorder="1"/>
    <xf numFmtId="5" fontId="0" fillId="0" borderId="63" xfId="14" applyNumberFormat="1" applyFont="1" applyBorder="1"/>
    <xf numFmtId="5" fontId="0" fillId="0" borderId="64" xfId="14" applyNumberFormat="1" applyFont="1" applyBorder="1"/>
    <xf numFmtId="44" fontId="18" fillId="7" borderId="13" xfId="0" applyNumberFormat="1" applyFont="1" applyFill="1" applyBorder="1" applyAlignment="1">
      <alignment horizontal="center"/>
    </xf>
    <xf numFmtId="44" fontId="0" fillId="7" borderId="13" xfId="1" applyFont="1" applyFill="1" applyBorder="1" applyAlignment="1">
      <alignment horizontal="center"/>
    </xf>
    <xf numFmtId="5" fontId="0" fillId="0" borderId="65" xfId="14" applyNumberFormat="1" applyFont="1" applyBorder="1"/>
    <xf numFmtId="170" fontId="0" fillId="0" borderId="13" xfId="0" applyNumberFormat="1" applyBorder="1"/>
    <xf numFmtId="166" fontId="0" fillId="0" borderId="14" xfId="0" applyNumberFormat="1" applyBorder="1"/>
    <xf numFmtId="175" fontId="0" fillId="0" borderId="14" xfId="0" applyNumberFormat="1" applyBorder="1"/>
    <xf numFmtId="175" fontId="0" fillId="0" borderId="13" xfId="0" applyNumberFormat="1" applyBorder="1"/>
    <xf numFmtId="0" fontId="11" fillId="0" borderId="0" xfId="0" applyFont="1" applyAlignment="1">
      <alignment horizontal="center" vertical="center"/>
    </xf>
    <xf numFmtId="0" fontId="29" fillId="0" borderId="10" xfId="0" applyFont="1" applyBorder="1"/>
    <xf numFmtId="169" fontId="29" fillId="0" borderId="10" xfId="0" applyNumberFormat="1" applyFont="1" applyBorder="1" applyAlignment="1">
      <alignment horizontal="center"/>
    </xf>
    <xf numFmtId="9" fontId="11" fillId="0" borderId="12" xfId="21" applyFont="1" applyBorder="1" applyAlignment="1">
      <alignment horizontal="right"/>
    </xf>
    <xf numFmtId="175" fontId="11" fillId="0" borderId="11" xfId="0" applyNumberFormat="1" applyFont="1" applyBorder="1"/>
    <xf numFmtId="166" fontId="11" fillId="0" borderId="11" xfId="0" applyNumberFormat="1" applyFont="1" applyBorder="1"/>
    <xf numFmtId="16" fontId="29" fillId="0" borderId="10" xfId="0" applyNumberFormat="1" applyFont="1" applyBorder="1" applyAlignment="1">
      <alignment horizontal="center"/>
    </xf>
    <xf numFmtId="16" fontId="29" fillId="3" borderId="7" xfId="0" applyNumberFormat="1" applyFont="1" applyFill="1" applyBorder="1" applyAlignment="1">
      <alignment horizontal="center"/>
    </xf>
    <xf numFmtId="0" fontId="0" fillId="3" borderId="14" xfId="0" applyFill="1" applyBorder="1" applyAlignment="1">
      <alignment horizontal="center"/>
    </xf>
    <xf numFmtId="0" fontId="11" fillId="3" borderId="14" xfId="0" applyFont="1" applyFill="1" applyBorder="1" applyAlignment="1">
      <alignment horizontal="center"/>
    </xf>
    <xf numFmtId="0" fontId="11" fillId="3" borderId="12" xfId="0" applyFont="1" applyFill="1" applyBorder="1" applyAlignment="1">
      <alignment horizontal="center"/>
    </xf>
    <xf numFmtId="0" fontId="29" fillId="3" borderId="13" xfId="0" applyFont="1" applyFill="1" applyBorder="1"/>
    <xf numFmtId="170" fontId="0" fillId="3" borderId="13" xfId="0" applyNumberFormat="1" applyFill="1" applyBorder="1"/>
    <xf numFmtId="0" fontId="0" fillId="3" borderId="13" xfId="0" applyFill="1" applyBorder="1"/>
    <xf numFmtId="0" fontId="11" fillId="3" borderId="0" xfId="0" applyFont="1" applyFill="1"/>
    <xf numFmtId="9" fontId="11" fillId="3" borderId="13" xfId="21" applyFont="1" applyFill="1" applyBorder="1" applyAlignment="1">
      <alignment horizontal="right"/>
    </xf>
    <xf numFmtId="169" fontId="0" fillId="3" borderId="13" xfId="0" applyNumberFormat="1" applyFill="1" applyBorder="1"/>
    <xf numFmtId="0" fontId="29" fillId="3" borderId="0" xfId="0" applyFont="1" applyFill="1"/>
    <xf numFmtId="169" fontId="0" fillId="3" borderId="0" xfId="0" applyNumberFormat="1" applyFill="1"/>
    <xf numFmtId="0" fontId="11" fillId="3" borderId="0" xfId="0" applyFont="1" applyFill="1" applyAlignment="1">
      <alignment horizontal="right"/>
    </xf>
    <xf numFmtId="0" fontId="15" fillId="0" borderId="0" xfId="0" applyFont="1" applyAlignment="1">
      <alignment horizontal="left"/>
    </xf>
    <xf numFmtId="177" fontId="0" fillId="0" borderId="13" xfId="0" applyNumberFormat="1" applyBorder="1"/>
    <xf numFmtId="0" fontId="38" fillId="0" borderId="0" xfId="0" applyFont="1"/>
    <xf numFmtId="175" fontId="0" fillId="0" borderId="11" xfId="0" applyNumberFormat="1" applyBorder="1"/>
    <xf numFmtId="175" fontId="0" fillId="0" borderId="12" xfId="0" applyNumberFormat="1" applyBorder="1"/>
    <xf numFmtId="0" fontId="11" fillId="0" borderId="1" xfId="0" quotePrefix="1" applyFont="1" applyBorder="1" applyAlignment="1">
      <alignment horizontal="center"/>
    </xf>
    <xf numFmtId="175" fontId="0" fillId="0" borderId="2" xfId="0" applyNumberFormat="1" applyBorder="1"/>
    <xf numFmtId="176" fontId="0" fillId="0" borderId="3" xfId="0" applyNumberFormat="1" applyBorder="1"/>
    <xf numFmtId="9" fontId="0" fillId="0" borderId="5" xfId="21" applyFont="1" applyBorder="1"/>
    <xf numFmtId="15" fontId="0" fillId="0" borderId="0" xfId="0" applyNumberFormat="1"/>
    <xf numFmtId="0" fontId="1" fillId="0" borderId="11" xfId="0" applyFont="1" applyBorder="1" applyAlignment="1">
      <alignment horizontal="center"/>
    </xf>
    <xf numFmtId="0" fontId="11" fillId="0" borderId="12" xfId="0" quotePrefix="1" applyFont="1" applyBorder="1" applyAlignment="1">
      <alignment horizontal="center"/>
    </xf>
    <xf numFmtId="167" fontId="18" fillId="0" borderId="0" xfId="0" applyNumberFormat="1" applyFont="1"/>
    <xf numFmtId="0" fontId="18" fillId="0" borderId="2" xfId="0" applyFont="1" applyBorder="1"/>
    <xf numFmtId="0" fontId="0" fillId="0" borderId="0" xfId="0" quotePrefix="1" applyAlignment="1">
      <alignment horizontal="right"/>
    </xf>
    <xf numFmtId="0" fontId="18" fillId="9" borderId="10" xfId="0" applyFont="1" applyFill="1" applyBorder="1" applyAlignment="1">
      <alignment horizontal="center"/>
    </xf>
    <xf numFmtId="169" fontId="0" fillId="9" borderId="10" xfId="0" applyNumberFormat="1" applyFill="1" applyBorder="1" applyAlignment="1">
      <alignment horizontal="center"/>
    </xf>
    <xf numFmtId="9" fontId="0" fillId="0" borderId="7" xfId="21" applyFont="1" applyFill="1" applyBorder="1" applyAlignment="1">
      <alignment horizontal="center"/>
    </xf>
    <xf numFmtId="0" fontId="1" fillId="0" borderId="10" xfId="0" applyFont="1" applyBorder="1" applyAlignment="1">
      <alignment horizontal="center"/>
    </xf>
    <xf numFmtId="0" fontId="36" fillId="0" borderId="10" xfId="0" applyFont="1" applyBorder="1" applyAlignment="1">
      <alignment horizontal="center"/>
    </xf>
    <xf numFmtId="3" fontId="37" fillId="0" borderId="10" xfId="0" quotePrefix="1" applyNumberFormat="1" applyFont="1" applyBorder="1" applyAlignment="1">
      <alignment horizontal="center"/>
    </xf>
    <xf numFmtId="0" fontId="37" fillId="0" borderId="2" xfId="0" applyFont="1" applyBorder="1"/>
    <xf numFmtId="0" fontId="1" fillId="0" borderId="2" xfId="0" applyFont="1" applyBorder="1"/>
    <xf numFmtId="0" fontId="1" fillId="0" borderId="3" xfId="0" applyFont="1" applyBorder="1"/>
    <xf numFmtId="0" fontId="1" fillId="0" borderId="15" xfId="0" applyFont="1" applyBorder="1"/>
    <xf numFmtId="0" fontId="36" fillId="0" borderId="5" xfId="0" applyFont="1" applyBorder="1"/>
    <xf numFmtId="0" fontId="1" fillId="0" borderId="5" xfId="0" applyFont="1" applyBorder="1"/>
    <xf numFmtId="0" fontId="1" fillId="0" borderId="6" xfId="0" applyFont="1" applyBorder="1"/>
    <xf numFmtId="3" fontId="1" fillId="0" borderId="5" xfId="0" applyNumberFormat="1" applyFont="1" applyBorder="1"/>
    <xf numFmtId="167" fontId="1" fillId="0" borderId="0" xfId="21" applyNumberFormat="1" applyFont="1" applyBorder="1"/>
    <xf numFmtId="169" fontId="0" fillId="5" borderId="10" xfId="0" applyNumberFormat="1" applyFill="1" applyBorder="1"/>
    <xf numFmtId="0" fontId="19" fillId="9" borderId="11" xfId="0" applyFont="1" applyFill="1" applyBorder="1" applyAlignment="1">
      <alignment horizontal="center"/>
    </xf>
    <xf numFmtId="0" fontId="0" fillId="11" borderId="5" xfId="0" applyFill="1" applyBorder="1"/>
    <xf numFmtId="5" fontId="0" fillId="11" borderId="3" xfId="14" applyNumberFormat="1" applyFont="1" applyFill="1" applyBorder="1"/>
    <xf numFmtId="5" fontId="0" fillId="0" borderId="15" xfId="14" applyNumberFormat="1" applyFont="1" applyBorder="1"/>
    <xf numFmtId="0" fontId="0" fillId="20" borderId="10" xfId="0" applyFill="1" applyBorder="1"/>
    <xf numFmtId="5" fontId="0" fillId="20" borderId="10" xfId="14" applyNumberFormat="1" applyFont="1" applyFill="1" applyBorder="1"/>
    <xf numFmtId="0" fontId="0" fillId="20" borderId="11" xfId="0" applyFill="1" applyBorder="1"/>
    <xf numFmtId="5" fontId="0" fillId="20" borderId="2" xfId="14" applyNumberFormat="1" applyFont="1" applyFill="1" applyBorder="1"/>
    <xf numFmtId="10" fontId="1" fillId="0" borderId="10" xfId="21" applyNumberFormat="1" applyFont="1" applyBorder="1"/>
    <xf numFmtId="0" fontId="11" fillId="0" borderId="10" xfId="0" applyFont="1" applyBorder="1" applyAlignment="1">
      <alignment horizontal="left"/>
    </xf>
    <xf numFmtId="0" fontId="0" fillId="5" borderId="7" xfId="0" applyFill="1" applyBorder="1" applyAlignment="1">
      <alignment horizontal="center"/>
    </xf>
    <xf numFmtId="175" fontId="0" fillId="5" borderId="53" xfId="0" applyNumberFormat="1" applyFill="1" applyBorder="1"/>
    <xf numFmtId="9" fontId="0" fillId="5" borderId="10" xfId="21" applyFont="1" applyFill="1" applyBorder="1"/>
    <xf numFmtId="169" fontId="0" fillId="5" borderId="54" xfId="0" applyNumberFormat="1" applyFill="1" applyBorder="1"/>
    <xf numFmtId="166" fontId="0" fillId="5" borderId="51" xfId="0" applyNumberFormat="1" applyFill="1" applyBorder="1"/>
    <xf numFmtId="0" fontId="0" fillId="16" borderId="7" xfId="0" applyFill="1" applyBorder="1" applyAlignment="1">
      <alignment horizontal="center"/>
    </xf>
    <xf numFmtId="175" fontId="0" fillId="16" borderId="53" xfId="0" applyNumberFormat="1" applyFill="1" applyBorder="1"/>
    <xf numFmtId="9" fontId="0" fillId="16" borderId="10" xfId="21" applyFont="1" applyFill="1" applyBorder="1"/>
    <xf numFmtId="169" fontId="0" fillId="16" borderId="54" xfId="0" applyNumberFormat="1" applyFill="1" applyBorder="1"/>
    <xf numFmtId="0" fontId="0" fillId="16" borderId="53" xfId="0" applyFill="1" applyBorder="1"/>
    <xf numFmtId="169" fontId="0" fillId="16" borderId="10" xfId="0" applyNumberFormat="1" applyFill="1" applyBorder="1"/>
    <xf numFmtId="166" fontId="0" fillId="16" borderId="51" xfId="0" applyNumberFormat="1" applyFill="1" applyBorder="1"/>
    <xf numFmtId="0" fontId="0" fillId="16" borderId="10" xfId="0" applyFill="1" applyBorder="1" applyAlignment="1">
      <alignment horizontal="center"/>
    </xf>
    <xf numFmtId="175" fontId="0" fillId="16" borderId="10" xfId="0" applyNumberFormat="1" applyFill="1" applyBorder="1" applyAlignment="1">
      <alignment horizontal="center"/>
    </xf>
    <xf numFmtId="169" fontId="0" fillId="16" borderId="12" xfId="0" applyNumberFormat="1" applyFill="1" applyBorder="1"/>
    <xf numFmtId="166" fontId="0" fillId="16" borderId="12" xfId="0" applyNumberFormat="1" applyFill="1" applyBorder="1" applyAlignment="1">
      <alignment horizontal="center"/>
    </xf>
    <xf numFmtId="0" fontId="0" fillId="5" borderId="10" xfId="0" applyFill="1" applyBorder="1" applyAlignment="1">
      <alignment horizontal="center"/>
    </xf>
    <xf numFmtId="175" fontId="0" fillId="5" borderId="10" xfId="0" applyNumberFormat="1" applyFill="1" applyBorder="1" applyAlignment="1">
      <alignment horizontal="center"/>
    </xf>
    <xf numFmtId="169" fontId="0" fillId="5" borderId="12" xfId="0" applyNumberFormat="1" applyFill="1" applyBorder="1"/>
    <xf numFmtId="166" fontId="0" fillId="5" borderId="12" xfId="0" applyNumberFormat="1" applyFill="1" applyBorder="1" applyAlignment="1">
      <alignment horizontal="center"/>
    </xf>
    <xf numFmtId="169" fontId="18" fillId="5" borderId="11" xfId="0" applyNumberFormat="1" applyFont="1" applyFill="1" applyBorder="1"/>
    <xf numFmtId="169" fontId="18" fillId="5" borderId="13" xfId="0" applyNumberFormat="1" applyFont="1" applyFill="1" applyBorder="1"/>
    <xf numFmtId="167" fontId="0" fillId="0" borderId="2" xfId="21" applyNumberFormat="1" applyFont="1" applyBorder="1"/>
    <xf numFmtId="167" fontId="18" fillId="0" borderId="3" xfId="0" applyNumberFormat="1" applyFont="1" applyBorder="1"/>
    <xf numFmtId="169" fontId="0" fillId="0" borderId="10" xfId="21" applyNumberFormat="1" applyFont="1" applyBorder="1" applyAlignment="1">
      <alignment horizontal="right"/>
    </xf>
    <xf numFmtId="167" fontId="18" fillId="0" borderId="10" xfId="0" applyNumberFormat="1" applyFont="1" applyBorder="1"/>
    <xf numFmtId="167" fontId="0" fillId="0" borderId="0" xfId="0" applyNumberFormat="1"/>
    <xf numFmtId="169" fontId="0" fillId="0" borderId="0" xfId="21" applyNumberFormat="1" applyFont="1" applyFill="1" applyBorder="1" applyAlignment="1">
      <alignment horizontal="right"/>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3" xfId="0" applyFont="1" applyBorder="1" applyAlignment="1">
      <alignment horizontal="center" vertical="center"/>
    </xf>
    <xf numFmtId="9" fontId="0" fillId="0" borderId="10" xfId="0" applyNumberFormat="1" applyBorder="1" applyAlignment="1">
      <alignment horizontal="center"/>
    </xf>
    <xf numFmtId="0" fontId="11" fillId="0" borderId="2" xfId="0" applyFont="1" applyBorder="1" applyAlignment="1">
      <alignment horizontal="center" vertical="center"/>
    </xf>
    <xf numFmtId="0" fontId="0" fillId="11" borderId="10" xfId="0" applyFill="1" applyBorder="1" applyAlignment="1">
      <alignment horizontal="center"/>
    </xf>
    <xf numFmtId="9" fontId="0" fillId="11" borderId="10" xfId="0" applyNumberFormat="1" applyFill="1" applyBorder="1" applyAlignment="1">
      <alignment horizontal="center"/>
    </xf>
    <xf numFmtId="169" fontId="0" fillId="11" borderId="10" xfId="0" applyNumberFormat="1" applyFill="1" applyBorder="1"/>
    <xf numFmtId="9" fontId="0" fillId="5" borderId="10" xfId="0" applyNumberFormat="1" applyFill="1" applyBorder="1" applyAlignment="1">
      <alignment horizontal="center"/>
    </xf>
    <xf numFmtId="9" fontId="0" fillId="16" borderId="10" xfId="0" applyNumberFormat="1" applyFill="1" applyBorder="1" applyAlignment="1">
      <alignment horizontal="center"/>
    </xf>
    <xf numFmtId="169" fontId="0" fillId="11" borderId="10" xfId="0" applyNumberFormat="1" applyFill="1" applyBorder="1" applyAlignment="1">
      <alignment horizontal="center"/>
    </xf>
    <xf numFmtId="169" fontId="0" fillId="5" borderId="10" xfId="0" applyNumberFormat="1" applyFill="1" applyBorder="1" applyAlignment="1">
      <alignment horizontal="center"/>
    </xf>
    <xf numFmtId="169" fontId="0" fillId="16" borderId="10" xfId="0" applyNumberFormat="1" applyFill="1" applyBorder="1" applyAlignment="1">
      <alignment horizontal="center"/>
    </xf>
    <xf numFmtId="175" fontId="0" fillId="11" borderId="10" xfId="0" applyNumberFormat="1" applyFill="1" applyBorder="1" applyAlignment="1">
      <alignment horizontal="center"/>
    </xf>
    <xf numFmtId="175" fontId="0" fillId="6" borderId="10" xfId="0" applyNumberFormat="1" applyFill="1" applyBorder="1" applyAlignment="1">
      <alignment horizontal="center"/>
    </xf>
    <xf numFmtId="0" fontId="11" fillId="16" borderId="9" xfId="0" applyFont="1" applyFill="1" applyBorder="1" applyAlignment="1">
      <alignment horizontal="center"/>
    </xf>
    <xf numFmtId="44" fontId="1" fillId="6" borderId="9" xfId="1" applyFont="1" applyFill="1" applyBorder="1" applyAlignment="1">
      <alignment horizontal="center"/>
    </xf>
    <xf numFmtId="0" fontId="0" fillId="5" borderId="8" xfId="0" applyFill="1" applyBorder="1"/>
    <xf numFmtId="0" fontId="0" fillId="5" borderId="8" xfId="0" applyFill="1" applyBorder="1" applyAlignment="1">
      <alignment horizontal="center"/>
    </xf>
    <xf numFmtId="0" fontId="11" fillId="11" borderId="7" xfId="0" applyFont="1" applyFill="1" applyBorder="1" applyAlignment="1">
      <alignment horizontal="left"/>
    </xf>
    <xf numFmtId="0" fontId="11" fillId="11" borderId="9" xfId="0" applyFont="1" applyFill="1" applyBorder="1"/>
    <xf numFmtId="3" fontId="0" fillId="0" borderId="0" xfId="0" applyNumberFormat="1"/>
    <xf numFmtId="16" fontId="11" fillId="0" borderId="12" xfId="0" applyNumberFormat="1" applyFont="1" applyBorder="1" applyAlignment="1">
      <alignment horizontal="center"/>
    </xf>
    <xf numFmtId="167" fontId="0" fillId="0" borderId="51" xfId="21" applyNumberFormat="1" applyFont="1" applyFill="1" applyBorder="1" applyAlignment="1">
      <alignment horizontal="center"/>
    </xf>
    <xf numFmtId="169" fontId="11" fillId="5" borderId="7" xfId="0" applyNumberFormat="1" applyFont="1" applyFill="1" applyBorder="1" applyAlignment="1">
      <alignment horizontal="center"/>
    </xf>
    <xf numFmtId="169" fontId="11" fillId="16" borderId="7" xfId="0" applyNumberFormat="1" applyFont="1" applyFill="1" applyBorder="1" applyAlignment="1">
      <alignment horizontal="center"/>
    </xf>
    <xf numFmtId="175" fontId="0" fillId="0" borderId="48" xfId="0" applyNumberFormat="1" applyBorder="1" applyAlignment="1">
      <alignment horizontal="center"/>
    </xf>
    <xf numFmtId="9" fontId="0" fillId="0" borderId="10" xfId="21" applyFont="1" applyBorder="1" applyAlignment="1">
      <alignment horizontal="center"/>
    </xf>
    <xf numFmtId="9" fontId="0" fillId="9" borderId="10" xfId="21" applyFont="1" applyFill="1" applyBorder="1" applyAlignment="1">
      <alignment horizontal="center"/>
    </xf>
    <xf numFmtId="9" fontId="0" fillId="5" borderId="10" xfId="21" applyFont="1" applyFill="1" applyBorder="1" applyAlignment="1">
      <alignment horizontal="center"/>
    </xf>
    <xf numFmtId="9" fontId="0" fillId="16" borderId="10" xfId="21" applyFont="1" applyFill="1" applyBorder="1" applyAlignment="1">
      <alignment horizontal="center"/>
    </xf>
    <xf numFmtId="0" fontId="39" fillId="0" borderId="0" xfId="0" applyFont="1"/>
    <xf numFmtId="169" fontId="11" fillId="0" borderId="2" xfId="0" applyNumberFormat="1" applyFont="1" applyBorder="1"/>
    <xf numFmtId="15" fontId="0" fillId="0" borderId="0" xfId="0" quotePrefix="1" applyNumberFormat="1" applyAlignment="1">
      <alignment horizontal="left"/>
    </xf>
    <xf numFmtId="0" fontId="19" fillId="5" borderId="11" xfId="0" applyFont="1" applyFill="1" applyBorder="1" applyAlignment="1">
      <alignment horizontal="center"/>
    </xf>
    <xf numFmtId="169" fontId="11" fillId="5" borderId="10" xfId="0" applyNumberFormat="1" applyFont="1" applyFill="1" applyBorder="1"/>
    <xf numFmtId="0" fontId="18" fillId="5" borderId="10" xfId="0" applyFont="1" applyFill="1" applyBorder="1" applyAlignment="1">
      <alignment horizontal="center"/>
    </xf>
    <xf numFmtId="170" fontId="0" fillId="0" borderId="10" xfId="21" applyNumberFormat="1" applyFont="1" applyBorder="1"/>
    <xf numFmtId="0" fontId="11" fillId="5" borderId="7" xfId="0" applyFont="1" applyFill="1" applyBorder="1" applyAlignment="1">
      <alignment horizontal="left"/>
    </xf>
    <xf numFmtId="0" fontId="0" fillId="5" borderId="9" xfId="0" applyFill="1" applyBorder="1"/>
    <xf numFmtId="164" fontId="11" fillId="5" borderId="10" xfId="0" applyNumberFormat="1" applyFont="1" applyFill="1" applyBorder="1" applyAlignment="1">
      <alignment horizontal="center"/>
    </xf>
    <xf numFmtId="170" fontId="11" fillId="5" borderId="10" xfId="0" applyNumberFormat="1" applyFont="1" applyFill="1" applyBorder="1"/>
    <xf numFmtId="3" fontId="11" fillId="5" borderId="10" xfId="0" applyNumberFormat="1" applyFont="1" applyFill="1" applyBorder="1" applyAlignment="1">
      <alignment horizontal="center"/>
    </xf>
    <xf numFmtId="0" fontId="0" fillId="16" borderId="10" xfId="0" applyFill="1" applyBorder="1"/>
    <xf numFmtId="0" fontId="0" fillId="16" borderId="7" xfId="0" applyFill="1" applyBorder="1"/>
    <xf numFmtId="169" fontId="11" fillId="5" borderId="10" xfId="0" applyNumberFormat="1" applyFont="1" applyFill="1" applyBorder="1" applyAlignment="1">
      <alignment horizontal="center"/>
    </xf>
    <xf numFmtId="173" fontId="0" fillId="0" borderId="10" xfId="0" applyNumberFormat="1" applyBorder="1" applyAlignment="1">
      <alignment horizontal="center"/>
    </xf>
    <xf numFmtId="177" fontId="0" fillId="0" borderId="10" xfId="0" applyNumberFormat="1" applyBorder="1" applyAlignment="1">
      <alignment horizontal="center"/>
    </xf>
    <xf numFmtId="177" fontId="11" fillId="5" borderId="10" xfId="0" applyNumberFormat="1" applyFont="1" applyFill="1" applyBorder="1" applyAlignment="1">
      <alignment horizontal="center"/>
    </xf>
    <xf numFmtId="177" fontId="0" fillId="16" borderId="10" xfId="0" applyNumberFormat="1" applyFill="1" applyBorder="1" applyAlignment="1">
      <alignment horizontal="center"/>
    </xf>
    <xf numFmtId="173" fontId="0" fillId="16" borderId="10" xfId="0" applyNumberFormat="1" applyFill="1" applyBorder="1" applyAlignment="1">
      <alignment horizontal="center"/>
    </xf>
    <xf numFmtId="167" fontId="0" fillId="16" borderId="10" xfId="21" applyNumberFormat="1" applyFont="1" applyFill="1" applyBorder="1" applyAlignment="1">
      <alignment horizontal="center"/>
    </xf>
    <xf numFmtId="15" fontId="11" fillId="0" borderId="1" xfId="0" applyNumberFormat="1" applyFont="1" applyBorder="1" applyAlignment="1">
      <alignment horizontal="left"/>
    </xf>
    <xf numFmtId="173" fontId="0" fillId="0" borderId="12" xfId="0" applyNumberFormat="1" applyBorder="1" applyAlignment="1">
      <alignment horizontal="center"/>
    </xf>
    <xf numFmtId="169" fontId="0" fillId="0" borderId="12" xfId="0" applyNumberFormat="1" applyBorder="1" applyAlignment="1">
      <alignment horizontal="center"/>
    </xf>
    <xf numFmtId="177" fontId="0" fillId="0" borderId="12" xfId="0" applyNumberFormat="1" applyBorder="1" applyAlignment="1">
      <alignment horizontal="center"/>
    </xf>
    <xf numFmtId="15" fontId="0" fillId="0" borderId="0" xfId="0" quotePrefix="1" applyNumberFormat="1"/>
    <xf numFmtId="16" fontId="18" fillId="0" borderId="7" xfId="0" applyNumberFormat="1" applyFont="1" applyBorder="1" applyAlignment="1">
      <alignment horizontal="center"/>
    </xf>
    <xf numFmtId="5" fontId="18" fillId="0" borderId="10" xfId="0" applyNumberFormat="1" applyFont="1" applyBorder="1"/>
    <xf numFmtId="5" fontId="18" fillId="0" borderId="9" xfId="0" applyNumberFormat="1" applyFont="1" applyBorder="1"/>
    <xf numFmtId="0" fontId="18" fillId="0" borderId="9" xfId="0" applyFont="1" applyBorder="1"/>
    <xf numFmtId="5" fontId="18" fillId="0" borderId="6" xfId="0" applyNumberFormat="1" applyFont="1" applyBorder="1"/>
    <xf numFmtId="44" fontId="11" fillId="0" borderId="0" xfId="1" applyFont="1"/>
    <xf numFmtId="165" fontId="11" fillId="0" borderId="0" xfId="14" applyNumberFormat="1" applyFont="1"/>
    <xf numFmtId="165" fontId="11" fillId="0" borderId="0" xfId="14" applyNumberFormat="1" applyFont="1" applyAlignment="1">
      <alignment horizontal="center"/>
    </xf>
    <xf numFmtId="10" fontId="20" fillId="0" borderId="13" xfId="21" applyNumberFormat="1" applyFont="1" applyFill="1" applyBorder="1" applyAlignment="1">
      <alignment horizontal="center"/>
    </xf>
    <xf numFmtId="0" fontId="19" fillId="16" borderId="11" xfId="0" applyFont="1" applyFill="1" applyBorder="1" applyAlignment="1">
      <alignment horizontal="center"/>
    </xf>
    <xf numFmtId="0" fontId="19" fillId="16" borderId="13" xfId="0" applyFont="1" applyFill="1" applyBorder="1" applyAlignment="1">
      <alignment horizontal="center"/>
    </xf>
    <xf numFmtId="0" fontId="19" fillId="5" borderId="13" xfId="0" applyFont="1" applyFill="1" applyBorder="1" applyAlignment="1">
      <alignment horizontal="center"/>
    </xf>
    <xf numFmtId="9" fontId="11" fillId="0" borderId="0" xfId="21" applyFont="1" applyBorder="1" applyAlignment="1">
      <alignment horizontal="right"/>
    </xf>
    <xf numFmtId="0" fontId="11" fillId="9" borderId="10" xfId="0" applyFont="1" applyFill="1" applyBorder="1" applyAlignment="1">
      <alignment horizontal="center"/>
    </xf>
    <xf numFmtId="0" fontId="11" fillId="5" borderId="10" xfId="0" applyFont="1" applyFill="1" applyBorder="1" applyAlignment="1">
      <alignment horizontal="center"/>
    </xf>
    <xf numFmtId="167" fontId="11" fillId="5" borderId="10" xfId="21" applyNumberFormat="1" applyFont="1" applyFill="1" applyBorder="1" applyAlignment="1">
      <alignment horizontal="center"/>
    </xf>
    <xf numFmtId="167" fontId="11" fillId="16" borderId="10" xfId="21" applyNumberFormat="1" applyFont="1" applyFill="1" applyBorder="1" applyAlignment="1">
      <alignment horizontal="center"/>
    </xf>
    <xf numFmtId="169" fontId="11" fillId="0" borderId="12" xfId="0" applyNumberFormat="1" applyFont="1" applyBorder="1" applyAlignment="1">
      <alignment horizontal="center"/>
    </xf>
    <xf numFmtId="169" fontId="11" fillId="5" borderId="12" xfId="0" applyNumberFormat="1" applyFont="1" applyFill="1" applyBorder="1" applyAlignment="1">
      <alignment horizontal="center"/>
    </xf>
    <xf numFmtId="169" fontId="11" fillId="16" borderId="12" xfId="0" applyNumberFormat="1" applyFont="1" applyFill="1" applyBorder="1" applyAlignment="1">
      <alignment horizontal="center"/>
    </xf>
    <xf numFmtId="0" fontId="11" fillId="21" borderId="10" xfId="0" applyFont="1" applyFill="1" applyBorder="1" applyAlignment="1">
      <alignment horizontal="center"/>
    </xf>
    <xf numFmtId="169" fontId="0" fillId="21" borderId="10" xfId="0" applyNumberFormat="1" applyFill="1" applyBorder="1"/>
    <xf numFmtId="169" fontId="11" fillId="21" borderId="10" xfId="0" applyNumberFormat="1" applyFont="1" applyFill="1" applyBorder="1"/>
    <xf numFmtId="0" fontId="0" fillId="2" borderId="13" xfId="0" applyFill="1" applyBorder="1" applyAlignment="1">
      <alignment horizontal="center"/>
    </xf>
    <xf numFmtId="15" fontId="0" fillId="0" borderId="0" xfId="0" applyNumberFormat="1" applyAlignment="1">
      <alignment horizontal="center"/>
    </xf>
    <xf numFmtId="167" fontId="0" fillId="0" borderId="0" xfId="0" applyNumberFormat="1" applyAlignment="1">
      <alignment horizontal="center"/>
    </xf>
    <xf numFmtId="167" fontId="11" fillId="0" borderId="0" xfId="0" applyNumberFormat="1" applyFont="1" applyAlignment="1">
      <alignment horizontal="center"/>
    </xf>
    <xf numFmtId="43" fontId="0" fillId="0" borderId="0" xfId="0" applyNumberFormat="1"/>
    <xf numFmtId="0" fontId="11" fillId="0" borderId="12" xfId="0" applyFont="1" applyBorder="1" applyAlignment="1">
      <alignment horizontal="center" vertical="center"/>
    </xf>
    <xf numFmtId="167" fontId="11" fillId="0" borderId="11" xfId="0" applyNumberFormat="1" applyFont="1" applyBorder="1" applyAlignment="1">
      <alignment horizontal="center"/>
    </xf>
    <xf numFmtId="166" fontId="0" fillId="0" borderId="10" xfId="0" applyNumberFormat="1" applyBorder="1"/>
    <xf numFmtId="167" fontId="0" fillId="0" borderId="10" xfId="21" applyNumberFormat="1" applyFont="1" applyFill="1" applyBorder="1"/>
    <xf numFmtId="167" fontId="0" fillId="9" borderId="10" xfId="21" applyNumberFormat="1" applyFont="1" applyFill="1" applyBorder="1"/>
    <xf numFmtId="175" fontId="0" fillId="5" borderId="10" xfId="0" applyNumberFormat="1" applyFill="1" applyBorder="1"/>
    <xf numFmtId="166" fontId="0" fillId="5" borderId="10" xfId="0" applyNumberFormat="1" applyFill="1" applyBorder="1"/>
    <xf numFmtId="167" fontId="0" fillId="5" borderId="10" xfId="21" applyNumberFormat="1" applyFont="1" applyFill="1" applyBorder="1"/>
    <xf numFmtId="175" fontId="0" fillId="4" borderId="10" xfId="0" applyNumberFormat="1" applyFill="1" applyBorder="1" applyAlignment="1">
      <alignment horizontal="center"/>
    </xf>
    <xf numFmtId="167" fontId="0" fillId="4" borderId="10" xfId="0" applyNumberFormat="1" applyFill="1" applyBorder="1" applyAlignment="1">
      <alignment horizontal="center"/>
    </xf>
    <xf numFmtId="4" fontId="0" fillId="0" borderId="10" xfId="0" applyNumberFormat="1" applyBorder="1"/>
    <xf numFmtId="0" fontId="0" fillId="5" borderId="10" xfId="0" applyFill="1" applyBorder="1" applyAlignment="1">
      <alignment horizontal="left"/>
    </xf>
    <xf numFmtId="175" fontId="0" fillId="0" borderId="0" xfId="0" applyNumberFormat="1" applyAlignment="1">
      <alignment horizontal="center"/>
    </xf>
    <xf numFmtId="0" fontId="0" fillId="0" borderId="7" xfId="0" quotePrefix="1" applyBorder="1" applyAlignment="1">
      <alignment horizontal="left"/>
    </xf>
    <xf numFmtId="167" fontId="0" fillId="0" borderId="7" xfId="0" applyNumberFormat="1" applyBorder="1" applyAlignment="1">
      <alignment horizontal="left"/>
    </xf>
    <xf numFmtId="167" fontId="0" fillId="0" borderId="8" xfId="0" applyNumberFormat="1" applyBorder="1" applyAlignment="1">
      <alignment horizontal="center"/>
    </xf>
    <xf numFmtId="167" fontId="0" fillId="0" borderId="9" xfId="0" applyNumberFormat="1" applyBorder="1" applyAlignment="1">
      <alignment horizontal="center"/>
    </xf>
    <xf numFmtId="167" fontId="0" fillId="4" borderId="7" xfId="0" applyNumberFormat="1" applyFill="1" applyBorder="1" applyAlignment="1">
      <alignment horizontal="left"/>
    </xf>
    <xf numFmtId="167" fontId="0" fillId="4" borderId="9" xfId="0" applyNumberFormat="1" applyFill="1" applyBorder="1" applyAlignment="1">
      <alignment horizontal="center"/>
    </xf>
    <xf numFmtId="169" fontId="0" fillId="4" borderId="10" xfId="0" applyNumberFormat="1" applyFill="1" applyBorder="1" applyAlignment="1">
      <alignment horizontal="center"/>
    </xf>
    <xf numFmtId="0" fontId="11" fillId="16" borderId="11" xfId="0" applyFont="1" applyFill="1" applyBorder="1" applyAlignment="1">
      <alignment horizontal="center"/>
    </xf>
    <xf numFmtId="167" fontId="11" fillId="0" borderId="10" xfId="0" applyNumberFormat="1" applyFont="1" applyBorder="1" applyAlignment="1">
      <alignment horizontal="center"/>
    </xf>
    <xf numFmtId="0" fontId="0" fillId="0" borderId="9" xfId="0" applyBorder="1" applyAlignment="1">
      <alignment horizontal="left"/>
    </xf>
    <xf numFmtId="0" fontId="0" fillId="0" borderId="0" xfId="0" quotePrefix="1" applyAlignment="1">
      <alignment horizontal="left"/>
    </xf>
    <xf numFmtId="4" fontId="0" fillId="0" borderId="10" xfId="0" applyNumberFormat="1" applyBorder="1" applyAlignment="1">
      <alignment horizontal="center"/>
    </xf>
    <xf numFmtId="175" fontId="0" fillId="16" borderId="10" xfId="0" applyNumberFormat="1" applyFill="1" applyBorder="1"/>
    <xf numFmtId="167" fontId="0" fillId="0" borderId="10" xfId="21" applyNumberFormat="1" applyFont="1" applyBorder="1" applyAlignment="1">
      <alignment horizontal="center"/>
    </xf>
    <xf numFmtId="9" fontId="11" fillId="0" borderId="10" xfId="21" applyFont="1" applyBorder="1" applyAlignment="1">
      <alignment horizontal="center"/>
    </xf>
    <xf numFmtId="175" fontId="11" fillId="0" borderId="10" xfId="0" applyNumberFormat="1" applyFont="1" applyBorder="1" applyAlignment="1">
      <alignment horizontal="center"/>
    </xf>
    <xf numFmtId="175" fontId="11" fillId="16" borderId="10" xfId="0" applyNumberFormat="1" applyFont="1" applyFill="1" applyBorder="1" applyAlignment="1">
      <alignment horizontal="center"/>
    </xf>
    <xf numFmtId="0" fontId="11" fillId="5" borderId="8" xfId="0" applyFont="1" applyFill="1" applyBorder="1"/>
    <xf numFmtId="0" fontId="11" fillId="5" borderId="9" xfId="0" applyFont="1" applyFill="1" applyBorder="1"/>
    <xf numFmtId="175" fontId="11" fillId="5" borderId="10" xfId="0" applyNumberFormat="1" applyFont="1" applyFill="1" applyBorder="1" applyAlignment="1">
      <alignment horizontal="center"/>
    </xf>
    <xf numFmtId="0" fontId="0" fillId="21" borderId="7" xfId="0" applyFill="1" applyBorder="1" applyAlignment="1">
      <alignment horizontal="left"/>
    </xf>
    <xf numFmtId="0" fontId="0" fillId="21" borderId="8" xfId="0" applyFill="1" applyBorder="1"/>
    <xf numFmtId="0" fontId="0" fillId="21" borderId="9" xfId="0" applyFill="1" applyBorder="1"/>
    <xf numFmtId="175" fontId="0" fillId="21" borderId="10" xfId="0" applyNumberFormat="1" applyFill="1" applyBorder="1" applyAlignment="1">
      <alignment horizontal="center"/>
    </xf>
    <xf numFmtId="0" fontId="11" fillId="0" borderId="11" xfId="0" applyFont="1" applyBorder="1"/>
    <xf numFmtId="0" fontId="11" fillId="0" borderId="13" xfId="0" applyFont="1" applyBorder="1" applyAlignment="1">
      <alignment horizontal="right"/>
    </xf>
    <xf numFmtId="9" fontId="0" fillId="0" borderId="3" xfId="21" applyFont="1" applyBorder="1" applyAlignment="1">
      <alignment horizontal="center"/>
    </xf>
    <xf numFmtId="2" fontId="0" fillId="0" borderId="10" xfId="0" applyNumberFormat="1" applyBorder="1" applyAlignment="1">
      <alignment horizontal="center"/>
    </xf>
    <xf numFmtId="169" fontId="11" fillId="0" borderId="10" xfId="0" applyNumberFormat="1" applyFont="1" applyBorder="1" applyAlignment="1">
      <alignment horizontal="center"/>
    </xf>
    <xf numFmtId="0" fontId="0" fillId="21" borderId="10" xfId="0" applyFill="1" applyBorder="1" applyAlignment="1">
      <alignment horizontal="left"/>
    </xf>
    <xf numFmtId="175" fontId="11" fillId="21" borderId="10" xfId="0" applyNumberFormat="1" applyFont="1" applyFill="1" applyBorder="1" applyAlignment="1">
      <alignment horizontal="center"/>
    </xf>
    <xf numFmtId="0" fontId="0" fillId="16" borderId="10" xfId="0" applyFill="1" applyBorder="1" applyAlignment="1">
      <alignment horizontal="left"/>
    </xf>
    <xf numFmtId="9" fontId="11" fillId="0" borderId="0" xfId="21" applyFont="1" applyBorder="1" applyAlignment="1">
      <alignment horizontal="center"/>
    </xf>
    <xf numFmtId="166" fontId="0" fillId="5" borderId="10" xfId="0" applyNumberFormat="1" applyFill="1" applyBorder="1" applyAlignment="1">
      <alignment horizontal="center"/>
    </xf>
    <xf numFmtId="167" fontId="11" fillId="16" borderId="1" xfId="0" applyNumberFormat="1" applyFont="1" applyFill="1" applyBorder="1" applyAlignment="1">
      <alignment horizontal="center"/>
    </xf>
    <xf numFmtId="167" fontId="11" fillId="16" borderId="14" xfId="0" applyNumberFormat="1" applyFont="1" applyFill="1" applyBorder="1" applyAlignment="1">
      <alignment horizontal="center"/>
    </xf>
    <xf numFmtId="167" fontId="11" fillId="16" borderId="13" xfId="0" applyNumberFormat="1" applyFont="1" applyFill="1" applyBorder="1" applyAlignment="1">
      <alignment horizontal="center"/>
    </xf>
    <xf numFmtId="167" fontId="29" fillId="16" borderId="4" xfId="0" applyNumberFormat="1" applyFont="1" applyFill="1" applyBorder="1" applyAlignment="1">
      <alignment horizontal="center"/>
    </xf>
    <xf numFmtId="167" fontId="11" fillId="16" borderId="12" xfId="0" applyNumberFormat="1" applyFont="1" applyFill="1" applyBorder="1" applyAlignment="1">
      <alignment horizontal="center"/>
    </xf>
    <xf numFmtId="167" fontId="0" fillId="16" borderId="10" xfId="0" applyNumberFormat="1" applyFill="1" applyBorder="1" applyAlignment="1">
      <alignment horizontal="center"/>
    </xf>
    <xf numFmtId="167" fontId="0" fillId="16" borderId="12" xfId="0" applyNumberFormat="1" applyFill="1" applyBorder="1" applyAlignment="1">
      <alignment horizontal="center"/>
    </xf>
    <xf numFmtId="167" fontId="29" fillId="0" borderId="0" xfId="0" applyNumberFormat="1" applyFont="1" applyAlignment="1">
      <alignment horizontal="center"/>
    </xf>
    <xf numFmtId="0" fontId="29" fillId="0" borderId="0" xfId="0" applyFont="1"/>
    <xf numFmtId="175" fontId="11" fillId="0" borderId="0" xfId="0" applyNumberFormat="1" applyFont="1" applyAlignment="1">
      <alignment horizontal="center"/>
    </xf>
    <xf numFmtId="169" fontId="11" fillId="0" borderId="1" xfId="0" applyNumberFormat="1" applyFont="1" applyBorder="1" applyAlignment="1">
      <alignment horizontal="center"/>
    </xf>
    <xf numFmtId="0" fontId="11" fillId="0" borderId="8" xfId="0" applyFont="1" applyBorder="1" applyAlignment="1">
      <alignment horizontal="center"/>
    </xf>
    <xf numFmtId="167" fontId="0" fillId="0" borderId="10" xfId="0" applyNumberFormat="1" applyBorder="1"/>
    <xf numFmtId="169" fontId="0" fillId="0" borderId="11" xfId="0" applyNumberFormat="1" applyBorder="1" applyAlignment="1">
      <alignment horizontal="center"/>
    </xf>
    <xf numFmtId="175" fontId="0" fillId="0" borderId="47" xfId="0" applyNumberFormat="1" applyBorder="1" applyAlignment="1">
      <alignment horizontal="center"/>
    </xf>
    <xf numFmtId="169" fontId="11" fillId="5" borderId="10" xfId="0" applyNumberFormat="1" applyFont="1" applyFill="1" applyBorder="1" applyAlignment="1">
      <alignment horizontal="right"/>
    </xf>
    <xf numFmtId="167" fontId="0" fillId="0" borderId="61" xfId="21" applyNumberFormat="1" applyFont="1" applyBorder="1" applyAlignment="1">
      <alignment horizontal="center"/>
    </xf>
    <xf numFmtId="0" fontId="0" fillId="0" borderId="7" xfId="0" quotePrefix="1" applyBorder="1"/>
    <xf numFmtId="9" fontId="0" fillId="0" borderId="9" xfId="21" applyFont="1" applyFill="1" applyBorder="1"/>
    <xf numFmtId="167" fontId="0" fillId="0" borderId="10" xfId="21" applyNumberFormat="1" applyFont="1" applyFill="1" applyBorder="1" applyAlignment="1">
      <alignment horizontal="right"/>
    </xf>
    <xf numFmtId="175" fontId="0" fillId="5" borderId="40" xfId="0" applyNumberFormat="1" applyFill="1" applyBorder="1" applyAlignment="1">
      <alignment horizontal="center"/>
    </xf>
    <xf numFmtId="175" fontId="0" fillId="16" borderId="40" xfId="0" applyNumberFormat="1" applyFill="1" applyBorder="1" applyAlignment="1">
      <alignment horizontal="center"/>
    </xf>
    <xf numFmtId="167" fontId="0" fillId="16" borderId="10" xfId="21" applyNumberFormat="1" applyFont="1" applyFill="1" applyBorder="1"/>
    <xf numFmtId="167" fontId="0" fillId="0" borderId="9" xfId="21" applyNumberFormat="1" applyFont="1" applyFill="1" applyBorder="1" applyAlignment="1">
      <alignment horizontal="center"/>
    </xf>
    <xf numFmtId="0" fontId="0" fillId="5" borderId="7" xfId="0" applyFill="1" applyBorder="1"/>
    <xf numFmtId="9" fontId="0" fillId="5" borderId="8" xfId="21" applyFont="1" applyFill="1" applyBorder="1" applyAlignment="1">
      <alignment horizontal="center"/>
    </xf>
    <xf numFmtId="167" fontId="0" fillId="5" borderId="9" xfId="21" applyNumberFormat="1" applyFont="1" applyFill="1" applyBorder="1" applyAlignment="1">
      <alignment horizontal="center"/>
    </xf>
    <xf numFmtId="0" fontId="0" fillId="16" borderId="8" xfId="0" applyFill="1" applyBorder="1"/>
    <xf numFmtId="9" fontId="0" fillId="16" borderId="8" xfId="21" applyFont="1" applyFill="1" applyBorder="1" applyAlignment="1">
      <alignment horizontal="center"/>
    </xf>
    <xf numFmtId="167" fontId="0" fillId="16" borderId="9" xfId="21" applyNumberFormat="1" applyFont="1" applyFill="1" applyBorder="1" applyAlignment="1">
      <alignment horizontal="center"/>
    </xf>
    <xf numFmtId="175" fontId="11" fillId="0" borderId="7" xfId="0" applyNumberFormat="1" applyFont="1" applyBorder="1" applyAlignment="1">
      <alignment horizontal="center"/>
    </xf>
    <xf numFmtId="175" fontId="0" fillId="0" borderId="60" xfId="0" applyNumberFormat="1" applyBorder="1" applyAlignment="1">
      <alignment horizontal="center"/>
    </xf>
    <xf numFmtId="167" fontId="0" fillId="0" borderId="60" xfId="21" applyNumberFormat="1" applyFont="1" applyBorder="1" applyAlignment="1">
      <alignment horizontal="center"/>
    </xf>
    <xf numFmtId="0" fontId="0" fillId="0" borderId="16" xfId="0" applyBorder="1" applyAlignment="1">
      <alignment horizontal="left"/>
    </xf>
    <xf numFmtId="0" fontId="0" fillId="0" borderId="66" xfId="0" applyBorder="1" applyAlignment="1">
      <alignment horizontal="center"/>
    </xf>
    <xf numFmtId="169" fontId="0" fillId="0" borderId="66" xfId="0" applyNumberFormat="1" applyBorder="1" applyAlignment="1">
      <alignment horizontal="center"/>
    </xf>
    <xf numFmtId="175" fontId="11" fillId="0" borderId="67" xfId="0" applyNumberFormat="1" applyFont="1" applyBorder="1" applyAlignment="1">
      <alignment horizontal="center"/>
    </xf>
    <xf numFmtId="175" fontId="0" fillId="0" borderId="68" xfId="0" applyNumberFormat="1" applyBorder="1" applyAlignment="1">
      <alignment horizontal="center"/>
    </xf>
    <xf numFmtId="167" fontId="0" fillId="0" borderId="69" xfId="21" applyNumberFormat="1" applyFont="1" applyFill="1" applyBorder="1" applyAlignment="1">
      <alignment horizontal="center"/>
    </xf>
    <xf numFmtId="0" fontId="0" fillId="0" borderId="70" xfId="0" applyBorder="1" applyAlignment="1">
      <alignment horizontal="left"/>
    </xf>
    <xf numFmtId="10" fontId="0" fillId="0" borderId="71" xfId="21" applyNumberFormat="1" applyFont="1" applyFill="1" applyBorder="1" applyAlignment="1">
      <alignment horizontal="center"/>
    </xf>
    <xf numFmtId="0" fontId="11" fillId="0" borderId="72" xfId="0" applyFont="1" applyBorder="1" applyAlignment="1">
      <alignment horizontal="left"/>
    </xf>
    <xf numFmtId="0" fontId="11" fillId="0" borderId="73" xfId="0" applyFont="1" applyBorder="1" applyAlignment="1">
      <alignment horizontal="center"/>
    </xf>
    <xf numFmtId="169" fontId="11" fillId="0" borderId="73" xfId="0" applyNumberFormat="1" applyFont="1" applyBorder="1" applyAlignment="1">
      <alignment horizontal="center"/>
    </xf>
    <xf numFmtId="175" fontId="11" fillId="0" borderId="74" xfId="0" applyNumberFormat="1" applyFont="1" applyBorder="1" applyAlignment="1">
      <alignment horizontal="center"/>
    </xf>
    <xf numFmtId="169" fontId="0" fillId="0" borderId="73" xfId="0" applyNumberFormat="1" applyBorder="1" applyAlignment="1">
      <alignment horizontal="center"/>
    </xf>
    <xf numFmtId="167" fontId="0" fillId="0" borderId="75" xfId="21" applyNumberFormat="1" applyFont="1" applyFill="1" applyBorder="1" applyAlignment="1">
      <alignment horizontal="center"/>
    </xf>
    <xf numFmtId="10" fontId="0" fillId="0" borderId="69" xfId="21" applyNumberFormat="1" applyFont="1" applyFill="1" applyBorder="1" applyAlignment="1">
      <alignment horizontal="center"/>
    </xf>
    <xf numFmtId="10" fontId="0" fillId="0" borderId="75" xfId="21" applyNumberFormat="1" applyFont="1" applyFill="1" applyBorder="1" applyAlignment="1">
      <alignment horizontal="center"/>
    </xf>
    <xf numFmtId="16" fontId="0" fillId="0" borderId="16" xfId="0" quotePrefix="1" applyNumberFormat="1" applyBorder="1" applyAlignment="1">
      <alignment horizontal="left"/>
    </xf>
    <xf numFmtId="16" fontId="0" fillId="0" borderId="66" xfId="0" quotePrefix="1" applyNumberFormat="1" applyBorder="1" applyAlignment="1">
      <alignment horizontal="center"/>
    </xf>
    <xf numFmtId="169" fontId="11" fillId="9" borderId="67" xfId="0" applyNumberFormat="1" applyFont="1" applyFill="1" applyBorder="1" applyAlignment="1">
      <alignment horizontal="center"/>
    </xf>
    <xf numFmtId="10" fontId="0" fillId="0" borderId="71" xfId="21" applyNumberFormat="1" applyFont="1" applyBorder="1" applyAlignment="1">
      <alignment horizontal="center"/>
    </xf>
    <xf numFmtId="16" fontId="11" fillId="0" borderId="73" xfId="0" quotePrefix="1" applyNumberFormat="1" applyFont="1" applyBorder="1" applyAlignment="1">
      <alignment horizontal="center"/>
    </xf>
    <xf numFmtId="169" fontId="11" fillId="9" borderId="74" xfId="0" applyNumberFormat="1" applyFont="1" applyFill="1" applyBorder="1" applyAlignment="1">
      <alignment horizontal="center"/>
    </xf>
    <xf numFmtId="175" fontId="0" fillId="0" borderId="76" xfId="0" applyNumberFormat="1" applyBorder="1" applyAlignment="1">
      <alignment horizontal="center"/>
    </xf>
    <xf numFmtId="10" fontId="0" fillId="0" borderId="77" xfId="21" applyNumberFormat="1" applyFont="1" applyBorder="1" applyAlignment="1">
      <alignment horizontal="center"/>
    </xf>
    <xf numFmtId="16" fontId="0" fillId="0" borderId="79" xfId="0" quotePrefix="1" applyNumberFormat="1" applyBorder="1" applyAlignment="1">
      <alignment horizontal="center"/>
    </xf>
    <xf numFmtId="169" fontId="0" fillId="5" borderId="79" xfId="0" applyNumberFormat="1" applyFill="1" applyBorder="1" applyAlignment="1">
      <alignment horizontal="center"/>
    </xf>
    <xf numFmtId="169" fontId="11" fillId="5" borderId="80" xfId="0" applyNumberFormat="1" applyFont="1" applyFill="1" applyBorder="1" applyAlignment="1">
      <alignment horizontal="center"/>
    </xf>
    <xf numFmtId="16" fontId="11" fillId="0" borderId="78" xfId="0" quotePrefix="1" applyNumberFormat="1" applyFont="1" applyBorder="1" applyAlignment="1">
      <alignment horizontal="left"/>
    </xf>
    <xf numFmtId="175" fontId="11" fillId="0" borderId="73" xfId="0" applyNumberFormat="1" applyFont="1" applyBorder="1" applyAlignment="1">
      <alignment horizontal="center"/>
    </xf>
    <xf numFmtId="169" fontId="0" fillId="9" borderId="66" xfId="0" applyNumberFormat="1" applyFill="1" applyBorder="1" applyAlignment="1">
      <alignment horizontal="center"/>
    </xf>
    <xf numFmtId="175" fontId="11" fillId="9" borderId="73" xfId="0" applyNumberFormat="1" applyFont="1" applyFill="1" applyBorder="1" applyAlignment="1">
      <alignment horizontal="center"/>
    </xf>
    <xf numFmtId="175" fontId="0" fillId="9" borderId="68" xfId="0" applyNumberFormat="1" applyFill="1" applyBorder="1" applyAlignment="1">
      <alignment horizontal="center"/>
    </xf>
    <xf numFmtId="10" fontId="0" fillId="9" borderId="69" xfId="21" applyNumberFormat="1" applyFont="1" applyFill="1" applyBorder="1" applyAlignment="1">
      <alignment horizontal="center"/>
    </xf>
    <xf numFmtId="175" fontId="0" fillId="5" borderId="81" xfId="0" applyNumberFormat="1" applyFill="1" applyBorder="1" applyAlignment="1">
      <alignment horizontal="center"/>
    </xf>
    <xf numFmtId="10" fontId="0" fillId="5" borderId="82" xfId="21" applyNumberFormat="1" applyFont="1" applyFill="1" applyBorder="1" applyAlignment="1">
      <alignment horizontal="center"/>
    </xf>
    <xf numFmtId="175" fontId="0" fillId="9" borderId="48" xfId="0" applyNumberFormat="1" applyFill="1" applyBorder="1" applyAlignment="1">
      <alignment horizontal="center"/>
    </xf>
    <xf numFmtId="167" fontId="0" fillId="9" borderId="51" xfId="21" applyNumberFormat="1" applyFont="1" applyFill="1" applyBorder="1" applyAlignment="1">
      <alignment horizontal="center"/>
    </xf>
    <xf numFmtId="175" fontId="0" fillId="5" borderId="48" xfId="0" applyNumberFormat="1" applyFill="1" applyBorder="1" applyAlignment="1">
      <alignment horizontal="center"/>
    </xf>
    <xf numFmtId="167" fontId="0" fillId="5" borderId="51" xfId="21" applyNumberFormat="1" applyFont="1" applyFill="1" applyBorder="1" applyAlignment="1">
      <alignment horizontal="center"/>
    </xf>
    <xf numFmtId="175" fontId="0" fillId="16" borderId="48" xfId="0" applyNumberFormat="1" applyFill="1" applyBorder="1" applyAlignment="1">
      <alignment horizontal="center"/>
    </xf>
    <xf numFmtId="167" fontId="0" fillId="16" borderId="51" xfId="21" applyNumberFormat="1" applyFont="1" applyFill="1" applyBorder="1" applyAlignment="1">
      <alignment horizontal="center"/>
    </xf>
    <xf numFmtId="0" fontId="11" fillId="3" borderId="11" xfId="0" applyFont="1" applyFill="1" applyBorder="1" applyAlignment="1">
      <alignment horizontal="center"/>
    </xf>
    <xf numFmtId="0" fontId="11" fillId="3" borderId="13" xfId="0" applyFont="1" applyFill="1" applyBorder="1" applyAlignment="1">
      <alignment horizontal="center"/>
    </xf>
    <xf numFmtId="175" fontId="0" fillId="3" borderId="47" xfId="0" applyNumberFormat="1" applyFill="1" applyBorder="1" applyAlignment="1">
      <alignment horizontal="center"/>
    </xf>
    <xf numFmtId="175" fontId="0" fillId="3" borderId="48" xfId="0" applyNumberFormat="1" applyFill="1" applyBorder="1" applyAlignment="1">
      <alignment horizontal="center"/>
    </xf>
    <xf numFmtId="167" fontId="1" fillId="0" borderId="10" xfId="21" applyNumberFormat="1" applyFont="1" applyBorder="1"/>
    <xf numFmtId="175" fontId="0" fillId="0" borderId="12" xfId="0" applyNumberFormat="1" applyBorder="1" applyAlignment="1">
      <alignment horizontal="center"/>
    </xf>
    <xf numFmtId="9" fontId="0" fillId="0" borderId="12" xfId="21" applyFont="1" applyBorder="1"/>
    <xf numFmtId="0" fontId="29" fillId="0" borderId="14" xfId="0" applyFont="1" applyBorder="1" applyAlignment="1">
      <alignment horizontal="center"/>
    </xf>
    <xf numFmtId="0" fontId="29" fillId="0" borderId="4" xfId="0" applyFont="1" applyBorder="1" applyAlignment="1">
      <alignment horizontal="center"/>
    </xf>
    <xf numFmtId="0" fontId="22" fillId="0" borderId="13" xfId="0" applyFont="1" applyBorder="1" applyAlignment="1">
      <alignment horizontal="center"/>
    </xf>
    <xf numFmtId="9" fontId="0" fillId="0" borderId="0" xfId="21" applyFont="1" applyFill="1" applyBorder="1"/>
    <xf numFmtId="9" fontId="11" fillId="5" borderId="10" xfId="0" applyNumberFormat="1" applyFont="1" applyFill="1" applyBorder="1"/>
    <xf numFmtId="0" fontId="0" fillId="11" borderId="9" xfId="0" applyFill="1" applyBorder="1"/>
    <xf numFmtId="3" fontId="0" fillId="11" borderId="10" xfId="0" applyNumberFormat="1" applyFill="1" applyBorder="1"/>
    <xf numFmtId="0" fontId="0" fillId="11" borderId="10" xfId="0" applyFill="1" applyBorder="1"/>
    <xf numFmtId="167" fontId="0" fillId="11" borderId="10" xfId="21" applyNumberFormat="1" applyFont="1" applyFill="1" applyBorder="1" applyAlignment="1">
      <alignment horizontal="center"/>
    </xf>
    <xf numFmtId="170" fontId="11" fillId="0" borderId="1" xfId="0" applyNumberFormat="1" applyFont="1" applyBorder="1"/>
    <xf numFmtId="0" fontId="11" fillId="16" borderId="10" xfId="0" applyFont="1" applyFill="1" applyBorder="1" applyAlignment="1">
      <alignment horizontal="center"/>
    </xf>
    <xf numFmtId="166" fontId="0" fillId="5" borderId="53" xfId="0" applyNumberFormat="1" applyFill="1" applyBorder="1"/>
    <xf numFmtId="166" fontId="0" fillId="0" borderId="53" xfId="0" applyNumberFormat="1" applyBorder="1"/>
    <xf numFmtId="167" fontId="0" fillId="16" borderId="10" xfId="0" applyNumberFormat="1" applyFill="1" applyBorder="1"/>
    <xf numFmtId="167" fontId="0" fillId="0" borderId="10" xfId="0" applyNumberFormat="1" applyBorder="1" applyAlignment="1">
      <alignment horizontal="right"/>
    </xf>
    <xf numFmtId="0" fontId="0" fillId="0" borderId="61" xfId="0" applyBorder="1"/>
    <xf numFmtId="175" fontId="0" fillId="0" borderId="83" xfId="0" applyNumberFormat="1" applyBorder="1"/>
    <xf numFmtId="9" fontId="2" fillId="0" borderId="11" xfId="21" applyFont="1" applyBorder="1"/>
    <xf numFmtId="169" fontId="0" fillId="0" borderId="84" xfId="0" applyNumberFormat="1" applyBorder="1"/>
    <xf numFmtId="0" fontId="0" fillId="0" borderId="60" xfId="0" applyBorder="1"/>
    <xf numFmtId="175" fontId="11" fillId="4" borderId="10" xfId="0" applyNumberFormat="1" applyFont="1" applyFill="1" applyBorder="1"/>
    <xf numFmtId="0" fontId="11" fillId="4" borderId="10" xfId="0" applyFont="1" applyFill="1" applyBorder="1" applyAlignment="1">
      <alignment horizontal="center"/>
    </xf>
    <xf numFmtId="9" fontId="11" fillId="4" borderId="10" xfId="21" applyFont="1" applyFill="1" applyBorder="1"/>
    <xf numFmtId="169" fontId="11" fillId="4" borderId="10" xfId="0" applyNumberFormat="1" applyFont="1" applyFill="1" applyBorder="1"/>
    <xf numFmtId="166" fontId="11" fillId="4" borderId="10" xfId="0" applyNumberFormat="1" applyFont="1" applyFill="1" applyBorder="1"/>
    <xf numFmtId="9" fontId="0" fillId="0" borderId="11" xfId="21" applyFont="1" applyFill="1" applyBorder="1"/>
    <xf numFmtId="166" fontId="0" fillId="0" borderId="60" xfId="0" applyNumberFormat="1" applyBorder="1"/>
    <xf numFmtId="167" fontId="11" fillId="4" borderId="10" xfId="21" applyNumberFormat="1" applyFont="1" applyFill="1" applyBorder="1"/>
    <xf numFmtId="169" fontId="0" fillId="9" borderId="57" xfId="0" applyNumberFormat="1" applyFill="1" applyBorder="1"/>
    <xf numFmtId="176" fontId="11" fillId="4" borderId="10" xfId="0" applyNumberFormat="1" applyFont="1" applyFill="1" applyBorder="1"/>
    <xf numFmtId="175" fontId="19" fillId="16" borderId="10" xfId="0" applyNumberFormat="1" applyFont="1" applyFill="1" applyBorder="1" applyAlignment="1">
      <alignment horizontal="center"/>
    </xf>
    <xf numFmtId="16" fontId="36" fillId="0" borderId="0" xfId="0" applyNumberFormat="1" applyFont="1" applyAlignment="1">
      <alignment horizontal="left"/>
    </xf>
    <xf numFmtId="3" fontId="1" fillId="0" borderId="7" xfId="0" applyNumberFormat="1" applyFont="1" applyBorder="1"/>
    <xf numFmtId="0" fontId="36" fillId="0" borderId="7" xfId="0" applyFont="1" applyBorder="1"/>
    <xf numFmtId="0" fontId="36" fillId="0" borderId="8" xfId="0" applyFont="1" applyBorder="1"/>
    <xf numFmtId="0" fontId="1" fillId="0" borderId="8" xfId="0" applyFont="1" applyBorder="1"/>
    <xf numFmtId="0" fontId="1" fillId="0" borderId="9" xfId="0" applyFont="1" applyBorder="1"/>
    <xf numFmtId="3" fontId="1" fillId="5" borderId="10" xfId="0" applyNumberFormat="1" applyFont="1" applyFill="1" applyBorder="1"/>
    <xf numFmtId="3" fontId="1" fillId="5" borderId="4" xfId="0" applyNumberFormat="1" applyFont="1" applyFill="1" applyBorder="1"/>
    <xf numFmtId="167" fontId="1" fillId="5" borderId="10" xfId="21" applyNumberFormat="1" applyFont="1" applyFill="1" applyBorder="1"/>
    <xf numFmtId="0" fontId="1" fillId="5" borderId="10" xfId="0" applyFont="1" applyFill="1" applyBorder="1" applyAlignment="1">
      <alignment horizontal="center"/>
    </xf>
    <xf numFmtId="16" fontId="36" fillId="5" borderId="7" xfId="0" applyNumberFormat="1" applyFont="1" applyFill="1" applyBorder="1" applyAlignment="1">
      <alignment horizontal="left"/>
    </xf>
    <xf numFmtId="16" fontId="36" fillId="5" borderId="8" xfId="0" applyNumberFormat="1" applyFont="1" applyFill="1" applyBorder="1" applyAlignment="1">
      <alignment horizontal="left"/>
    </xf>
    <xf numFmtId="15" fontId="0" fillId="5" borderId="10" xfId="0" quotePrefix="1" applyNumberFormat="1" applyFill="1" applyBorder="1" applyAlignment="1">
      <alignment horizontal="center"/>
    </xf>
    <xf numFmtId="169" fontId="11" fillId="0" borderId="11" xfId="0" applyNumberFormat="1" applyFont="1" applyBorder="1" applyAlignment="1">
      <alignment horizontal="center"/>
    </xf>
    <xf numFmtId="15" fontId="11" fillId="0" borderId="7" xfId="0" quotePrefix="1" applyNumberFormat="1" applyFont="1" applyBorder="1" applyAlignment="1">
      <alignment horizontal="center"/>
    </xf>
    <xf numFmtId="15" fontId="11" fillId="0" borderId="9" xfId="0" quotePrefix="1" applyNumberFormat="1" applyFont="1" applyBorder="1" applyAlignment="1">
      <alignment horizontal="center"/>
    </xf>
    <xf numFmtId="44" fontId="11" fillId="6" borderId="8" xfId="1" applyFont="1" applyFill="1" applyBorder="1"/>
    <xf numFmtId="164" fontId="11" fillId="16" borderId="8" xfId="0" applyNumberFormat="1" applyFont="1" applyFill="1" applyBorder="1" applyAlignment="1">
      <alignment horizontal="center"/>
    </xf>
    <xf numFmtId="175" fontId="0" fillId="0" borderId="12" xfId="0" applyNumberFormat="1" applyBorder="1" applyAlignment="1">
      <alignment horizontal="right"/>
    </xf>
    <xf numFmtId="175" fontId="0" fillId="0" borderId="10" xfId="0" applyNumberFormat="1" applyBorder="1" applyAlignment="1">
      <alignment horizontal="right"/>
    </xf>
    <xf numFmtId="175" fontId="0" fillId="9" borderId="10" xfId="0" applyNumberFormat="1" applyFill="1" applyBorder="1" applyAlignment="1">
      <alignment horizontal="right"/>
    </xf>
    <xf numFmtId="175" fontId="0" fillId="5" borderId="10" xfId="0" applyNumberFormat="1" applyFill="1" applyBorder="1" applyAlignment="1">
      <alignment horizontal="right"/>
    </xf>
    <xf numFmtId="175" fontId="0" fillId="16" borderId="10" xfId="0" applyNumberFormat="1" applyFill="1" applyBorder="1" applyAlignment="1">
      <alignment horizontal="right"/>
    </xf>
    <xf numFmtId="0" fontId="29" fillId="4" borderId="12" xfId="0" applyFont="1" applyFill="1" applyBorder="1" applyAlignment="1">
      <alignment horizontal="center"/>
    </xf>
    <xf numFmtId="169" fontId="0" fillId="4" borderId="12" xfId="0" applyNumberFormat="1" applyFill="1" applyBorder="1"/>
    <xf numFmtId="167" fontId="1" fillId="4" borderId="10" xfId="21" applyNumberFormat="1" applyFont="1" applyFill="1" applyBorder="1"/>
    <xf numFmtId="167" fontId="0" fillId="4" borderId="10" xfId="21" applyNumberFormat="1" applyFont="1" applyFill="1" applyBorder="1"/>
    <xf numFmtId="167" fontId="1" fillId="4" borderId="12" xfId="21" applyNumberFormat="1" applyFont="1" applyFill="1" applyBorder="1"/>
    <xf numFmtId="0" fontId="34" fillId="5" borderId="51" xfId="0" applyFont="1" applyFill="1" applyBorder="1" applyAlignment="1">
      <alignment horizontal="center" vertical="center" wrapText="1"/>
    </xf>
    <xf numFmtId="0" fontId="34" fillId="16" borderId="51" xfId="0" applyFont="1" applyFill="1" applyBorder="1" applyAlignment="1">
      <alignment horizontal="center" vertical="center" wrapText="1"/>
    </xf>
    <xf numFmtId="0" fontId="34" fillId="9" borderId="51" xfId="0" applyFont="1" applyFill="1" applyBorder="1" applyAlignment="1">
      <alignment horizontal="center" vertical="center" wrapText="1"/>
    </xf>
    <xf numFmtId="0" fontId="0" fillId="4" borderId="10" xfId="0" applyFill="1" applyBorder="1" applyAlignment="1">
      <alignment horizontal="center"/>
    </xf>
    <xf numFmtId="169" fontId="11" fillId="4" borderId="10" xfId="0" applyNumberFormat="1" applyFont="1" applyFill="1" applyBorder="1" applyAlignment="1">
      <alignment horizontal="center"/>
    </xf>
    <xf numFmtId="9" fontId="0" fillId="4" borderId="10" xfId="21" applyFont="1" applyFill="1" applyBorder="1" applyAlignment="1">
      <alignment horizontal="center"/>
    </xf>
    <xf numFmtId="9" fontId="11" fillId="4" borderId="10" xfId="21" applyFont="1" applyFill="1" applyBorder="1" applyAlignment="1">
      <alignment horizontal="center"/>
    </xf>
    <xf numFmtId="169" fontId="11" fillId="9" borderId="10" xfId="0" applyNumberFormat="1" applyFont="1" applyFill="1" applyBorder="1" applyAlignment="1">
      <alignment horizontal="center"/>
    </xf>
    <xf numFmtId="0" fontId="29" fillId="4" borderId="7" xfId="0" applyFont="1" applyFill="1" applyBorder="1"/>
    <xf numFmtId="0" fontId="29" fillId="4" borderId="8" xfId="0" applyFont="1" applyFill="1" applyBorder="1"/>
    <xf numFmtId="0" fontId="29" fillId="4" borderId="9" xfId="0" applyFont="1" applyFill="1" applyBorder="1"/>
    <xf numFmtId="0" fontId="0" fillId="21" borderId="7" xfId="0" applyFill="1" applyBorder="1" applyAlignment="1">
      <alignment horizontal="center"/>
    </xf>
    <xf numFmtId="169" fontId="0" fillId="21" borderId="8" xfId="0" applyNumberFormat="1" applyFill="1" applyBorder="1" applyAlignment="1">
      <alignment horizontal="center"/>
    </xf>
    <xf numFmtId="169" fontId="11" fillId="21" borderId="9" xfId="0" applyNumberFormat="1" applyFont="1" applyFill="1" applyBorder="1" applyAlignment="1">
      <alignment horizontal="center"/>
    </xf>
    <xf numFmtId="2" fontId="0" fillId="0" borderId="13" xfId="0" applyNumberFormat="1" applyBorder="1" applyAlignment="1">
      <alignment horizontal="center"/>
    </xf>
    <xf numFmtId="0" fontId="12" fillId="0" borderId="0" xfId="0" applyFont="1" applyAlignment="1">
      <alignment horizontal="left"/>
    </xf>
    <xf numFmtId="0" fontId="34" fillId="5" borderId="39" xfId="0" applyFont="1" applyFill="1" applyBorder="1" applyAlignment="1">
      <alignment horizontal="center" vertical="center" wrapText="1"/>
    </xf>
    <xf numFmtId="10" fontId="35" fillId="0" borderId="39" xfId="0" applyNumberFormat="1" applyFont="1" applyBorder="1" applyAlignment="1">
      <alignment horizontal="center" vertical="center" wrapText="1"/>
    </xf>
    <xf numFmtId="169" fontId="35" fillId="0" borderId="10" xfId="0" applyNumberFormat="1" applyFont="1" applyBorder="1" applyAlignment="1">
      <alignment horizontal="right" vertical="center" wrapText="1"/>
    </xf>
    <xf numFmtId="16" fontId="40" fillId="0" borderId="51" xfId="0" applyNumberFormat="1" applyFont="1" applyBorder="1" applyAlignment="1">
      <alignment horizontal="center" vertical="center" wrapText="1"/>
    </xf>
    <xf numFmtId="10" fontId="40" fillId="0" borderId="51" xfId="0" applyNumberFormat="1" applyFont="1" applyBorder="1" applyAlignment="1">
      <alignment horizontal="center" vertical="center" wrapText="1"/>
    </xf>
    <xf numFmtId="10" fontId="40" fillId="0" borderId="39" xfId="0" applyNumberFormat="1" applyFont="1" applyBorder="1" applyAlignment="1">
      <alignment horizontal="center" vertical="center" wrapText="1"/>
    </xf>
    <xf numFmtId="0" fontId="29" fillId="16" borderId="11" xfId="0" applyFont="1" applyFill="1" applyBorder="1" applyAlignment="1">
      <alignment horizontal="center"/>
    </xf>
    <xf numFmtId="0" fontId="29" fillId="16" borderId="13" xfId="0" applyFont="1" applyFill="1" applyBorder="1" applyAlignment="1">
      <alignment horizontal="center"/>
    </xf>
    <xf numFmtId="0" fontId="29" fillId="4" borderId="1" xfId="0" applyFont="1" applyFill="1" applyBorder="1" applyAlignment="1">
      <alignment horizontal="center"/>
    </xf>
    <xf numFmtId="0" fontId="29" fillId="4" borderId="14" xfId="0" applyFont="1" applyFill="1" applyBorder="1" applyAlignment="1">
      <alignment horizontal="center"/>
    </xf>
    <xf numFmtId="0" fontId="34" fillId="4" borderId="14"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16" borderId="13" xfId="0" applyFont="1" applyFill="1" applyBorder="1" applyAlignment="1">
      <alignment horizontal="center" vertical="center" wrapText="1"/>
    </xf>
    <xf numFmtId="0" fontId="29" fillId="16" borderId="12" xfId="0" applyFont="1" applyFill="1" applyBorder="1" applyAlignment="1">
      <alignment horizontal="center"/>
    </xf>
    <xf numFmtId="169" fontId="40" fillId="16" borderId="10" xfId="0" applyNumberFormat="1" applyFont="1" applyFill="1" applyBorder="1" applyAlignment="1">
      <alignment horizontal="right" vertical="center" wrapText="1"/>
    </xf>
    <xf numFmtId="169" fontId="11" fillId="4" borderId="12" xfId="0" applyNumberFormat="1" applyFont="1" applyFill="1" applyBorder="1"/>
    <xf numFmtId="169" fontId="0" fillId="4" borderId="11" xfId="0" applyNumberFormat="1" applyFill="1" applyBorder="1"/>
    <xf numFmtId="169" fontId="35" fillId="16" borderId="13" xfId="0" applyNumberFormat="1" applyFont="1" applyFill="1" applyBorder="1" applyAlignment="1">
      <alignment horizontal="right" vertical="center" wrapText="1"/>
    </xf>
    <xf numFmtId="169" fontId="35" fillId="0" borderId="12" xfId="0" applyNumberFormat="1" applyFont="1" applyBorder="1" applyAlignment="1">
      <alignment horizontal="right" vertical="center" wrapText="1"/>
    </xf>
    <xf numFmtId="169" fontId="0" fillId="4" borderId="13" xfId="0" applyNumberFormat="1" applyFill="1" applyBorder="1"/>
    <xf numFmtId="169" fontId="35" fillId="16" borderId="11" xfId="0" applyNumberFormat="1" applyFont="1" applyFill="1" applyBorder="1" applyAlignment="1">
      <alignment horizontal="right" vertical="center" wrapText="1"/>
    </xf>
    <xf numFmtId="169" fontId="0" fillId="5" borderId="7" xfId="0" applyNumberFormat="1" applyFill="1" applyBorder="1"/>
    <xf numFmtId="169" fontId="35" fillId="5" borderId="8" xfId="0" applyNumberFormat="1" applyFont="1" applyFill="1" applyBorder="1" applyAlignment="1">
      <alignment horizontal="right" vertical="center" wrapText="1"/>
    </xf>
    <xf numFmtId="16" fontId="35" fillId="0" borderId="48" xfId="0" applyNumberFormat="1" applyFont="1" applyBorder="1" applyAlignment="1">
      <alignment horizontal="center" vertical="center" wrapText="1"/>
    </xf>
    <xf numFmtId="16" fontId="35" fillId="0" borderId="60" xfId="0" applyNumberFormat="1" applyFont="1" applyBorder="1" applyAlignment="1">
      <alignment horizontal="center" vertical="center" wrapText="1"/>
    </xf>
    <xf numFmtId="10" fontId="35" fillId="0" borderId="60" xfId="0" applyNumberFormat="1" applyFont="1" applyBorder="1" applyAlignment="1">
      <alignment horizontal="center" vertical="center" wrapText="1"/>
    </xf>
    <xf numFmtId="16" fontId="35" fillId="0" borderId="10" xfId="0" applyNumberFormat="1" applyFont="1" applyBorder="1" applyAlignment="1">
      <alignment horizontal="center" vertical="center" wrapText="1"/>
    </xf>
    <xf numFmtId="10" fontId="35" fillId="0" borderId="10" xfId="0" applyNumberFormat="1" applyFont="1" applyBorder="1" applyAlignment="1">
      <alignment horizontal="center" vertical="center" wrapText="1"/>
    </xf>
    <xf numFmtId="3" fontId="1" fillId="0" borderId="14" xfId="0" applyNumberFormat="1" applyFont="1" applyBorder="1"/>
    <xf numFmtId="167" fontId="1" fillId="0" borderId="11" xfId="21" applyNumberFormat="1" applyFont="1" applyBorder="1"/>
    <xf numFmtId="3" fontId="1" fillId="0" borderId="7" xfId="0" applyNumberFormat="1" applyFont="1" applyBorder="1" applyAlignment="1">
      <alignment horizontal="center"/>
    </xf>
    <xf numFmtId="167" fontId="1" fillId="0" borderId="10" xfId="21" applyNumberFormat="1" applyFont="1" applyBorder="1" applyAlignment="1">
      <alignment horizontal="center"/>
    </xf>
    <xf numFmtId="3" fontId="0" fillId="0" borderId="10" xfId="0" applyNumberFormat="1" applyBorder="1"/>
    <xf numFmtId="3" fontId="0" fillId="0" borderId="8" xfId="0" applyNumberFormat="1" applyBorder="1"/>
    <xf numFmtId="167" fontId="0" fillId="0" borderId="8" xfId="21" applyNumberFormat="1" applyFont="1" applyBorder="1"/>
    <xf numFmtId="0" fontId="1" fillId="16" borderId="7" xfId="0" applyFont="1" applyFill="1" applyBorder="1" applyAlignment="1">
      <alignment horizontal="left"/>
    </xf>
    <xf numFmtId="3" fontId="1" fillId="16" borderId="8" xfId="0" applyNumberFormat="1" applyFont="1" applyFill="1" applyBorder="1"/>
    <xf numFmtId="167" fontId="1" fillId="16" borderId="8" xfId="21" applyNumberFormat="1" applyFont="1" applyFill="1" applyBorder="1"/>
    <xf numFmtId="0" fontId="1" fillId="16" borderId="8" xfId="0" applyFont="1" applyFill="1" applyBorder="1"/>
    <xf numFmtId="0" fontId="1" fillId="16" borderId="9" xfId="0" applyFont="1" applyFill="1" applyBorder="1"/>
    <xf numFmtId="166" fontId="0" fillId="16" borderId="61" xfId="0" applyNumberFormat="1" applyFill="1" applyBorder="1"/>
    <xf numFmtId="0" fontId="29" fillId="0" borderId="15" xfId="0" applyFont="1" applyBorder="1" applyAlignment="1">
      <alignment horizontal="center"/>
    </xf>
    <xf numFmtId="0" fontId="29" fillId="0" borderId="52" xfId="0" applyFont="1" applyBorder="1" applyAlignment="1">
      <alignment horizontal="center"/>
    </xf>
    <xf numFmtId="9" fontId="0" fillId="9" borderId="10" xfId="0" applyNumberFormat="1" applyFill="1" applyBorder="1" applyAlignment="1">
      <alignment horizontal="center"/>
    </xf>
    <xf numFmtId="0" fontId="11" fillId="5" borderId="11" xfId="0" applyFont="1" applyFill="1" applyBorder="1" applyAlignment="1">
      <alignment horizontal="center"/>
    </xf>
    <xf numFmtId="0" fontId="11" fillId="5" borderId="12" xfId="0" applyFont="1" applyFill="1" applyBorder="1" applyAlignment="1">
      <alignment horizontal="center"/>
    </xf>
    <xf numFmtId="0" fontId="11" fillId="0" borderId="85" xfId="0" applyFont="1" applyBorder="1"/>
    <xf numFmtId="0" fontId="11" fillId="0" borderId="86" xfId="0" applyFont="1" applyBorder="1"/>
    <xf numFmtId="9" fontId="0" fillId="0" borderId="50" xfId="21" applyFont="1" applyBorder="1"/>
    <xf numFmtId="170" fontId="0" fillId="0" borderId="10" xfId="0" applyNumberFormat="1" applyBorder="1"/>
    <xf numFmtId="0" fontId="11" fillId="5" borderId="13" xfId="0" applyFont="1" applyFill="1" applyBorder="1" applyAlignment="1">
      <alignment horizontal="center"/>
    </xf>
    <xf numFmtId="169" fontId="18" fillId="4" borderId="13" xfId="0" applyNumberFormat="1" applyFont="1" applyFill="1" applyBorder="1"/>
    <xf numFmtId="169" fontId="18" fillId="9" borderId="10" xfId="0" applyNumberFormat="1" applyFont="1" applyFill="1" applyBorder="1"/>
    <xf numFmtId="175" fontId="11" fillId="0" borderId="12" xfId="0" applyNumberFormat="1" applyFont="1" applyBorder="1"/>
    <xf numFmtId="175" fontId="11" fillId="0" borderId="10" xfId="0" applyNumberFormat="1" applyFont="1" applyBorder="1"/>
    <xf numFmtId="0" fontId="41" fillId="0" borderId="1" xfId="0" applyFont="1" applyBorder="1"/>
    <xf numFmtId="0" fontId="41" fillId="0" borderId="14" xfId="0" applyFont="1" applyBorder="1"/>
    <xf numFmtId="0" fontId="19" fillId="0" borderId="12" xfId="0" applyFont="1" applyBorder="1" applyAlignment="1">
      <alignment horizontal="center"/>
    </xf>
    <xf numFmtId="0" fontId="19" fillId="0" borderId="6" xfId="0" applyFont="1" applyBorder="1" applyAlignment="1">
      <alignment horizontal="center"/>
    </xf>
    <xf numFmtId="175" fontId="18" fillId="0" borderId="10" xfId="0" applyNumberFormat="1" applyFont="1" applyBorder="1"/>
    <xf numFmtId="175" fontId="18" fillId="0" borderId="9" xfId="0" applyNumberFormat="1" applyFont="1" applyBorder="1"/>
    <xf numFmtId="175" fontId="18" fillId="0" borderId="12" xfId="0" applyNumberFormat="1" applyFont="1" applyBorder="1"/>
    <xf numFmtId="175" fontId="18" fillId="0" borderId="6" xfId="0" applyNumberFormat="1" applyFont="1" applyBorder="1"/>
    <xf numFmtId="175" fontId="18" fillId="0" borderId="13" xfId="0" applyNumberFormat="1" applyFont="1" applyBorder="1"/>
    <xf numFmtId="175" fontId="18" fillId="0" borderId="15" xfId="0" applyNumberFormat="1" applyFont="1" applyBorder="1"/>
    <xf numFmtId="175" fontId="19" fillId="0" borderId="12" xfId="0" applyNumberFormat="1" applyFont="1" applyBorder="1"/>
    <xf numFmtId="175" fontId="19" fillId="0" borderId="6" xfId="0" applyNumberFormat="1" applyFont="1" applyBorder="1"/>
    <xf numFmtId="175" fontId="18" fillId="0" borderId="0" xfId="0" applyNumberFormat="1" applyFont="1"/>
    <xf numFmtId="175" fontId="19" fillId="0" borderId="10" xfId="0" applyNumberFormat="1" applyFont="1" applyBorder="1"/>
    <xf numFmtId="175" fontId="19" fillId="0" borderId="9" xfId="0" applyNumberFormat="1" applyFont="1" applyBorder="1"/>
    <xf numFmtId="169" fontId="0" fillId="0" borderId="0" xfId="0" applyNumberFormat="1" applyAlignment="1">
      <alignment horizontal="right"/>
    </xf>
    <xf numFmtId="172" fontId="11" fillId="0" borderId="0" xfId="0" applyNumberFormat="1" applyFont="1"/>
    <xf numFmtId="171" fontId="6" fillId="2" borderId="14" xfId="1" applyNumberFormat="1" applyFont="1" applyFill="1" applyBorder="1" applyAlignment="1">
      <alignment horizontal="center"/>
    </xf>
    <xf numFmtId="178" fontId="0" fillId="2" borderId="14" xfId="1" applyNumberFormat="1" applyFont="1" applyFill="1" applyBorder="1" applyAlignment="1">
      <alignment horizontal="center"/>
    </xf>
    <xf numFmtId="179" fontId="0" fillId="0" borderId="14" xfId="1" applyNumberFormat="1" applyFont="1" applyFill="1" applyBorder="1" applyAlignment="1">
      <alignment horizontal="center"/>
    </xf>
    <xf numFmtId="0" fontId="11" fillId="5" borderId="3" xfId="0" applyFont="1" applyFill="1" applyBorder="1" applyAlignment="1">
      <alignment horizontal="center"/>
    </xf>
    <xf numFmtId="0" fontId="19" fillId="9" borderId="10" xfId="0" applyFont="1" applyFill="1" applyBorder="1" applyAlignment="1">
      <alignment horizontal="center"/>
    </xf>
    <xf numFmtId="0" fontId="11" fillId="0" borderId="0" xfId="0" applyFont="1" applyAlignment="1">
      <alignment vertical="center"/>
    </xf>
    <xf numFmtId="10" fontId="0" fillId="0" borderId="10" xfId="21" applyNumberFormat="1" applyFont="1" applyBorder="1"/>
    <xf numFmtId="9" fontId="0" fillId="0" borderId="0" xfId="460" applyFont="1" applyBorder="1"/>
    <xf numFmtId="9" fontId="0" fillId="0" borderId="7" xfId="460" applyFont="1" applyBorder="1" applyAlignment="1">
      <alignment horizontal="center"/>
    </xf>
    <xf numFmtId="9" fontId="0" fillId="5" borderId="12" xfId="460" applyFont="1" applyFill="1" applyBorder="1" applyAlignment="1">
      <alignment horizontal="center"/>
    </xf>
    <xf numFmtId="2" fontId="0" fillId="0" borderId="10" xfId="0" quotePrefix="1" applyNumberFormat="1" applyBorder="1" applyAlignment="1">
      <alignment horizontal="center"/>
    </xf>
    <xf numFmtId="0" fontId="0" fillId="0" borderId="10" xfId="0" quotePrefix="1" applyBorder="1" applyAlignment="1">
      <alignment horizontal="center"/>
    </xf>
    <xf numFmtId="0" fontId="0" fillId="9" borderId="10" xfId="0" quotePrefix="1" applyFill="1" applyBorder="1" applyAlignment="1">
      <alignment horizontal="center"/>
    </xf>
    <xf numFmtId="9" fontId="0" fillId="9" borderId="7" xfId="460" applyFont="1" applyFill="1" applyBorder="1" applyAlignment="1">
      <alignment horizontal="center"/>
    </xf>
    <xf numFmtId="2" fontId="11" fillId="0" borderId="0" xfId="0" applyNumberFormat="1" applyFont="1"/>
    <xf numFmtId="1" fontId="11" fillId="0" borderId="0" xfId="0" applyNumberFormat="1" applyFont="1"/>
    <xf numFmtId="0" fontId="11" fillId="0" borderId="7" xfId="0" applyFont="1" applyBorder="1" applyAlignment="1">
      <alignment horizontal="center" vertical="center"/>
    </xf>
    <xf numFmtId="169" fontId="29" fillId="0" borderId="0" xfId="0" applyNumberFormat="1" applyFont="1" applyAlignment="1">
      <alignment horizontal="center"/>
    </xf>
    <xf numFmtId="177" fontId="0" fillId="0" borderId="0" xfId="0" applyNumberFormat="1"/>
    <xf numFmtId="169" fontId="11" fillId="0" borderId="3" xfId="0" applyNumberFormat="1" applyFont="1" applyBorder="1"/>
    <xf numFmtId="9" fontId="11" fillId="0" borderId="6" xfId="21" applyFont="1" applyBorder="1" applyAlignment="1">
      <alignment horizontal="right"/>
    </xf>
    <xf numFmtId="166" fontId="0" fillId="0" borderId="13" xfId="0" applyNumberFormat="1" applyBorder="1" applyAlignment="1">
      <alignment horizontal="right"/>
    </xf>
    <xf numFmtId="0" fontId="0" fillId="0" borderId="13" xfId="0" applyBorder="1" applyAlignment="1">
      <alignment horizontal="right"/>
    </xf>
    <xf numFmtId="0" fontId="29" fillId="0" borderId="9" xfId="0" applyFont="1" applyBorder="1" applyAlignment="1">
      <alignment horizontal="center"/>
    </xf>
    <xf numFmtId="0" fontId="29" fillId="0" borderId="7" xfId="0" applyFont="1" applyBorder="1" applyAlignment="1">
      <alignment horizontal="center" vertical="center"/>
    </xf>
    <xf numFmtId="166" fontId="0" fillId="0" borderId="10" xfId="0" applyNumberFormat="1" applyBorder="1" applyAlignment="1">
      <alignment horizontal="right"/>
    </xf>
    <xf numFmtId="9" fontId="0" fillId="0" borderId="10" xfId="21" applyFont="1" applyBorder="1" applyAlignment="1">
      <alignment horizontal="right"/>
    </xf>
    <xf numFmtId="16" fontId="29" fillId="0" borderId="0" xfId="0" applyNumberFormat="1" applyFont="1" applyAlignment="1">
      <alignment horizontal="center"/>
    </xf>
    <xf numFmtId="175" fontId="0" fillId="11" borderId="10" xfId="0" applyNumberFormat="1" applyFill="1" applyBorder="1"/>
    <xf numFmtId="5" fontId="0" fillId="0" borderId="5" xfId="14" applyNumberFormat="1" applyFont="1" applyFill="1" applyBorder="1"/>
    <xf numFmtId="5" fontId="0" fillId="0" borderId="6" xfId="14" applyNumberFormat="1" applyFont="1" applyFill="1" applyBorder="1"/>
    <xf numFmtId="5" fontId="0" fillId="0" borderId="9" xfId="14" applyNumberFormat="1" applyFont="1" applyFill="1" applyBorder="1"/>
    <xf numFmtId="5" fontId="0" fillId="0" borderId="8" xfId="14" applyNumberFormat="1" applyFont="1" applyFill="1" applyBorder="1"/>
    <xf numFmtId="6" fontId="0" fillId="0" borderId="0" xfId="0" applyNumberFormat="1"/>
    <xf numFmtId="175" fontId="0" fillId="0" borderId="88" xfId="0" applyNumberFormat="1" applyBorder="1"/>
    <xf numFmtId="175" fontId="0" fillId="0" borderId="89" xfId="0" applyNumberFormat="1" applyBorder="1"/>
    <xf numFmtId="175" fontId="0" fillId="0" borderId="90" xfId="0" applyNumberFormat="1" applyBorder="1"/>
    <xf numFmtId="175" fontId="0" fillId="9" borderId="89" xfId="0" applyNumberFormat="1" applyFill="1" applyBorder="1"/>
    <xf numFmtId="175" fontId="0" fillId="5" borderId="7" xfId="0" applyNumberFormat="1" applyFill="1" applyBorder="1"/>
    <xf numFmtId="9" fontId="2" fillId="0" borderId="0" xfId="21" applyFont="1" applyBorder="1"/>
    <xf numFmtId="9" fontId="0" fillId="0" borderId="14" xfId="21" applyFont="1" applyBorder="1"/>
    <xf numFmtId="9" fontId="0" fillId="0" borderId="1" xfId="21" applyFont="1" applyBorder="1"/>
    <xf numFmtId="9" fontId="0" fillId="0" borderId="14" xfId="21" applyFont="1" applyFill="1" applyBorder="1"/>
    <xf numFmtId="175" fontId="2" fillId="16" borderId="4" xfId="21" applyNumberFormat="1" applyFont="1" applyFill="1" applyBorder="1"/>
    <xf numFmtId="9" fontId="0" fillId="16" borderId="6" xfId="21" applyFont="1" applyFill="1" applyBorder="1"/>
    <xf numFmtId="175" fontId="0" fillId="16" borderId="4" xfId="21" applyNumberFormat="1" applyFont="1" applyFill="1" applyBorder="1"/>
    <xf numFmtId="170" fontId="0" fillId="0" borderId="14" xfId="0" applyNumberFormat="1" applyBorder="1"/>
    <xf numFmtId="0" fontId="11" fillId="4" borderId="11" xfId="0" applyFont="1" applyFill="1" applyBorder="1" applyAlignment="1">
      <alignment horizontal="center"/>
    </xf>
    <xf numFmtId="9" fontId="0" fillId="4" borderId="10" xfId="21" applyFont="1" applyFill="1" applyBorder="1"/>
    <xf numFmtId="0" fontId="11" fillId="16" borderId="10" xfId="0" applyFont="1" applyFill="1" applyBorder="1"/>
    <xf numFmtId="169" fontId="0" fillId="0" borderId="9" xfId="0" applyNumberFormat="1" applyBorder="1"/>
    <xf numFmtId="3" fontId="1" fillId="0" borderId="12" xfId="0" applyNumberFormat="1" applyFont="1" applyBorder="1"/>
    <xf numFmtId="3" fontId="37" fillId="0" borderId="12" xfId="0" quotePrefix="1" applyNumberFormat="1" applyFont="1" applyBorder="1" applyAlignment="1">
      <alignment horizontal="center"/>
    </xf>
    <xf numFmtId="0" fontId="37" fillId="0" borderId="7" xfId="0" applyFont="1" applyBorder="1"/>
    <xf numFmtId="0" fontId="37" fillId="0" borderId="8" xfId="0" applyFont="1" applyBorder="1"/>
    <xf numFmtId="0" fontId="37" fillId="0" borderId="7" xfId="0" applyFont="1" applyBorder="1" applyAlignment="1">
      <alignment horizontal="center"/>
    </xf>
    <xf numFmtId="165" fontId="6" fillId="0" borderId="2" xfId="14" applyNumberFormat="1" applyFont="1" applyBorder="1" applyAlignment="1">
      <alignment horizontal="center"/>
    </xf>
    <xf numFmtId="174" fontId="6" fillId="2" borderId="1" xfId="1" applyNumberFormat="1" applyFont="1" applyFill="1" applyBorder="1" applyAlignment="1">
      <alignment horizontal="center"/>
    </xf>
    <xf numFmtId="174" fontId="6" fillId="0" borderId="1" xfId="1" applyNumberFormat="1" applyFont="1" applyFill="1" applyBorder="1" applyAlignment="1">
      <alignment horizontal="center"/>
    </xf>
    <xf numFmtId="171" fontId="6" fillId="0" borderId="1" xfId="1" applyNumberFormat="1" applyFont="1" applyFill="1" applyBorder="1" applyAlignment="1">
      <alignment horizontal="center"/>
    </xf>
    <xf numFmtId="171" fontId="6" fillId="0" borderId="11" xfId="1" applyNumberFormat="1" applyFont="1" applyFill="1" applyBorder="1" applyAlignment="1">
      <alignment horizontal="center"/>
    </xf>
    <xf numFmtId="171" fontId="6" fillId="0" borderId="2" xfId="1" applyNumberFormat="1" applyFont="1" applyFill="1" applyBorder="1" applyAlignment="1">
      <alignment horizontal="center"/>
    </xf>
    <xf numFmtId="44" fontId="6" fillId="0" borderId="2" xfId="1" applyFont="1" applyFill="1" applyBorder="1" applyAlignment="1">
      <alignment horizontal="center"/>
    </xf>
    <xf numFmtId="168" fontId="6" fillId="0" borderId="3" xfId="1" applyNumberFormat="1" applyFont="1" applyBorder="1" applyAlignment="1">
      <alignment horizontal="center"/>
    </xf>
    <xf numFmtId="171" fontId="18" fillId="0" borderId="2" xfId="0" applyNumberFormat="1" applyFont="1" applyBorder="1" applyAlignment="1">
      <alignment horizontal="center"/>
    </xf>
    <xf numFmtId="178" fontId="0" fillId="0" borderId="14" xfId="1" applyNumberFormat="1" applyFont="1" applyFill="1" applyBorder="1" applyAlignment="1">
      <alignment horizontal="center"/>
    </xf>
    <xf numFmtId="167" fontId="1" fillId="0" borderId="10" xfId="21" applyNumberFormat="1" applyFont="1" applyFill="1" applyBorder="1"/>
    <xf numFmtId="16" fontId="36" fillId="0" borderId="8" xfId="0" applyNumberFormat="1" applyFont="1" applyBorder="1" applyAlignment="1">
      <alignment horizontal="left"/>
    </xf>
    <xf numFmtId="16" fontId="36" fillId="0" borderId="7" xfId="0" applyNumberFormat="1" applyFont="1" applyBorder="1" applyAlignment="1">
      <alignment horizontal="left"/>
    </xf>
    <xf numFmtId="1" fontId="0" fillId="0" borderId="10" xfId="0" quotePrefix="1" applyNumberFormat="1" applyBorder="1" applyAlignment="1">
      <alignment horizontal="center"/>
    </xf>
    <xf numFmtId="176" fontId="0" fillId="0" borderId="10" xfId="0" applyNumberFormat="1" applyBorder="1" applyAlignment="1">
      <alignment horizontal="center"/>
    </xf>
    <xf numFmtId="4" fontId="11" fillId="5" borderId="10" xfId="0" applyNumberFormat="1" applyFont="1" applyFill="1" applyBorder="1" applyAlignment="1">
      <alignment horizontal="center"/>
    </xf>
    <xf numFmtId="0" fontId="18" fillId="0" borderId="10" xfId="0" applyFont="1" applyBorder="1" applyAlignment="1">
      <alignment horizontal="center"/>
    </xf>
    <xf numFmtId="0" fontId="0" fillId="16" borderId="8" xfId="0" applyFill="1" applyBorder="1" applyAlignment="1">
      <alignment horizontal="center"/>
    </xf>
    <xf numFmtId="0" fontId="11" fillId="16" borderId="7" xfId="0" applyFont="1" applyFill="1" applyBorder="1" applyAlignment="1">
      <alignment horizontal="left"/>
    </xf>
    <xf numFmtId="0" fontId="0" fillId="22" borderId="10" xfId="0" applyFill="1" applyBorder="1"/>
    <xf numFmtId="0" fontId="0" fillId="22" borderId="5" xfId="0" applyFill="1" applyBorder="1"/>
    <xf numFmtId="0" fontId="0" fillId="22" borderId="2" xfId="0" applyFill="1" applyBorder="1"/>
    <xf numFmtId="0" fontId="0" fillId="24" borderId="2" xfId="0" applyFill="1" applyBorder="1"/>
    <xf numFmtId="0" fontId="0" fillId="23" borderId="10" xfId="0" applyFill="1" applyBorder="1"/>
    <xf numFmtId="0" fontId="0" fillId="23" borderId="11" xfId="0" applyFill="1" applyBorder="1"/>
    <xf numFmtId="0" fontId="0" fillId="23" borderId="12" xfId="0" applyFill="1" applyBorder="1"/>
    <xf numFmtId="9" fontId="20" fillId="0" borderId="13" xfId="21" applyFont="1" applyFill="1" applyBorder="1" applyAlignment="1">
      <alignment horizontal="center"/>
    </xf>
    <xf numFmtId="9" fontId="20" fillId="0" borderId="13" xfId="0" applyNumberFormat="1" applyFont="1" applyBorder="1" applyAlignment="1">
      <alignment horizontal="center"/>
    </xf>
    <xf numFmtId="44" fontId="0" fillId="9" borderId="13" xfId="1" applyFont="1" applyFill="1" applyBorder="1" applyAlignment="1">
      <alignment horizontal="center"/>
    </xf>
    <xf numFmtId="173" fontId="0" fillId="0" borderId="0" xfId="0" applyNumberFormat="1" applyAlignment="1">
      <alignment horizontal="center"/>
    </xf>
    <xf numFmtId="167" fontId="0" fillId="0" borderId="3" xfId="21" applyNumberFormat="1" applyFont="1" applyBorder="1" applyAlignment="1">
      <alignment horizontal="center"/>
    </xf>
    <xf numFmtId="9" fontId="0" fillId="0" borderId="3" xfId="21" applyFont="1" applyBorder="1"/>
    <xf numFmtId="164" fontId="0" fillId="0" borderId="3" xfId="1" applyNumberFormat="1" applyFont="1" applyBorder="1" applyAlignment="1"/>
    <xf numFmtId="0" fontId="0" fillId="0" borderId="86" xfId="0" applyBorder="1" applyAlignment="1">
      <alignment horizontal="center"/>
    </xf>
    <xf numFmtId="164" fontId="0" fillId="0" borderId="7" xfId="1" applyNumberFormat="1" applyFont="1" applyFill="1" applyBorder="1"/>
    <xf numFmtId="164" fontId="0" fillId="0" borderId="9" xfId="1" applyNumberFormat="1" applyFont="1" applyFill="1" applyBorder="1" applyAlignment="1"/>
    <xf numFmtId="44" fontId="0" fillId="0" borderId="9" xfId="1" applyFont="1" applyBorder="1" applyAlignment="1">
      <alignment horizontal="center"/>
    </xf>
    <xf numFmtId="44" fontId="11" fillId="6" borderId="10" xfId="1" applyFont="1" applyFill="1" applyBorder="1"/>
    <xf numFmtId="164" fontId="11" fillId="16" borderId="10" xfId="0" applyNumberFormat="1" applyFont="1" applyFill="1" applyBorder="1" applyAlignment="1">
      <alignment horizontal="center"/>
    </xf>
    <xf numFmtId="44" fontId="11" fillId="6" borderId="10" xfId="1" applyFont="1" applyFill="1" applyBorder="1" applyAlignment="1">
      <alignment horizontal="center"/>
    </xf>
    <xf numFmtId="0" fontId="11" fillId="16" borderId="9" xfId="0" applyFont="1" applyFill="1" applyBorder="1"/>
    <xf numFmtId="164" fontId="11" fillId="16" borderId="7" xfId="1" applyNumberFormat="1" applyFont="1" applyFill="1" applyBorder="1"/>
    <xf numFmtId="164" fontId="11" fillId="16" borderId="8" xfId="1" applyNumberFormat="1" applyFont="1" applyFill="1" applyBorder="1"/>
    <xf numFmtId="167" fontId="11" fillId="16" borderId="9" xfId="21" applyNumberFormat="1" applyFont="1" applyFill="1" applyBorder="1"/>
    <xf numFmtId="0" fontId="11" fillId="6" borderId="9" xfId="0" applyFont="1" applyFill="1" applyBorder="1" applyAlignment="1">
      <alignment horizontal="center"/>
    </xf>
    <xf numFmtId="167" fontId="0" fillId="11" borderId="10" xfId="21" applyNumberFormat="1" applyFont="1" applyFill="1" applyBorder="1"/>
    <xf numFmtId="0" fontId="0" fillId="12" borderId="10" xfId="0" applyFill="1" applyBorder="1" applyAlignment="1">
      <alignment horizontal="center"/>
    </xf>
    <xf numFmtId="0" fontId="11" fillId="11" borderId="7" xfId="0" applyFont="1" applyFill="1" applyBorder="1" applyAlignment="1">
      <alignment horizontal="center"/>
    </xf>
    <xf numFmtId="0" fontId="11" fillId="11" borderId="10" xfId="0" applyFont="1" applyFill="1" applyBorder="1" applyAlignment="1">
      <alignment horizontal="center"/>
    </xf>
    <xf numFmtId="175" fontId="0" fillId="11" borderId="11" xfId="0" applyNumberFormat="1" applyFill="1" applyBorder="1"/>
    <xf numFmtId="175" fontId="0" fillId="11" borderId="12" xfId="0" applyNumberFormat="1" applyFill="1" applyBorder="1"/>
    <xf numFmtId="175" fontId="11" fillId="11" borderId="12" xfId="0" applyNumberFormat="1" applyFont="1" applyFill="1" applyBorder="1"/>
    <xf numFmtId="175" fontId="11" fillId="11" borderId="10" xfId="0" applyNumberFormat="1" applyFont="1" applyFill="1" applyBorder="1"/>
    <xf numFmtId="166" fontId="18" fillId="0" borderId="12" xfId="0" applyNumberFormat="1" applyFont="1" applyBorder="1" applyAlignment="1">
      <alignment horizontal="center"/>
    </xf>
    <xf numFmtId="169" fontId="0" fillId="0" borderId="10" xfId="21" applyNumberFormat="1" applyFont="1" applyFill="1" applyBorder="1" applyAlignment="1">
      <alignment horizontal="right"/>
    </xf>
    <xf numFmtId="169" fontId="18" fillId="0" borderId="10" xfId="0" applyNumberFormat="1" applyFont="1" applyBorder="1"/>
    <xf numFmtId="166" fontId="0" fillId="16" borderId="53" xfId="0" applyNumberFormat="1" applyFill="1" applyBorder="1"/>
    <xf numFmtId="16" fontId="35" fillId="0" borderId="46" xfId="0" applyNumberFormat="1" applyFont="1" applyBorder="1" applyAlignment="1">
      <alignment horizontal="center" vertical="center" wrapText="1"/>
    </xf>
    <xf numFmtId="10" fontId="35" fillId="0" borderId="41" xfId="0" applyNumberFormat="1" applyFont="1" applyBorder="1" applyAlignment="1">
      <alignment horizontal="center" vertical="center" wrapText="1"/>
    </xf>
    <xf numFmtId="16" fontId="0" fillId="0" borderId="10" xfId="0" applyNumberFormat="1" applyBorder="1"/>
    <xf numFmtId="0" fontId="11" fillId="0" borderId="3" xfId="0" applyFont="1" applyBorder="1" applyAlignment="1">
      <alignment horizontal="center" vertical="center"/>
    </xf>
    <xf numFmtId="0" fontId="11" fillId="0" borderId="14" xfId="0" applyFont="1" applyBorder="1"/>
    <xf numFmtId="169" fontId="11" fillId="0" borderId="15" xfId="0" applyNumberFormat="1" applyFont="1" applyBorder="1"/>
    <xf numFmtId="169" fontId="11" fillId="0" borderId="5" xfId="0" applyNumberFormat="1" applyFont="1" applyBorder="1"/>
    <xf numFmtId="169" fontId="11" fillId="0" borderId="6" xfId="0" applyNumberFormat="1" applyFont="1" applyBorder="1"/>
    <xf numFmtId="167" fontId="0" fillId="0" borderId="8" xfId="0" applyNumberFormat="1" applyBorder="1"/>
    <xf numFmtId="9" fontId="11" fillId="0" borderId="10" xfId="460" applyFont="1" applyBorder="1"/>
    <xf numFmtId="9" fontId="0" fillId="0" borderId="10" xfId="460" applyFont="1" applyBorder="1" applyAlignment="1">
      <alignment horizontal="center"/>
    </xf>
    <xf numFmtId="175" fontId="0" fillId="0" borderId="46" xfId="0" applyNumberFormat="1" applyBorder="1" applyAlignment="1">
      <alignment horizontal="center"/>
    </xf>
    <xf numFmtId="16" fontId="0" fillId="16" borderId="10" xfId="0" quotePrefix="1" applyNumberFormat="1" applyFill="1" applyBorder="1" applyAlignment="1">
      <alignment horizontal="center"/>
    </xf>
    <xf numFmtId="169" fontId="11" fillId="16" borderId="10" xfId="0" applyNumberFormat="1" applyFont="1" applyFill="1" applyBorder="1" applyAlignment="1">
      <alignment horizontal="center"/>
    </xf>
    <xf numFmtId="0" fontId="11" fillId="11" borderId="11" xfId="0" applyFont="1" applyFill="1" applyBorder="1" applyAlignment="1">
      <alignment horizontal="center"/>
    </xf>
    <xf numFmtId="0" fontId="11" fillId="11" borderId="12" xfId="0" applyFont="1" applyFill="1" applyBorder="1" applyAlignment="1">
      <alignment horizontal="center"/>
    </xf>
    <xf numFmtId="167" fontId="1" fillId="0" borderId="12" xfId="21" applyNumberFormat="1" applyFont="1" applyBorder="1"/>
    <xf numFmtId="167" fontId="1" fillId="16" borderId="10" xfId="21" applyNumberFormat="1" applyFont="1" applyFill="1" applyBorder="1"/>
    <xf numFmtId="167" fontId="0" fillId="0" borderId="10" xfId="21" applyNumberFormat="1" applyFont="1" applyFill="1" applyBorder="1" applyAlignment="1">
      <alignment horizontal="center"/>
    </xf>
    <xf numFmtId="167" fontId="0" fillId="5" borderId="10" xfId="21" applyNumberFormat="1" applyFont="1" applyFill="1" applyBorder="1" applyAlignment="1">
      <alignment horizontal="center"/>
    </xf>
    <xf numFmtId="175" fontId="0" fillId="0" borderId="9" xfId="0" applyNumberFormat="1" applyBorder="1" applyAlignment="1">
      <alignment horizontal="center"/>
    </xf>
    <xf numFmtId="0" fontId="42" fillId="0" borderId="0" xfId="0" applyFont="1"/>
    <xf numFmtId="0" fontId="43" fillId="0" borderId="0" xfId="0" applyFont="1"/>
    <xf numFmtId="0" fontId="44" fillId="0" borderId="0" xfId="0" applyFont="1"/>
    <xf numFmtId="167" fontId="0" fillId="0" borderId="7" xfId="21" applyNumberFormat="1" applyFont="1" applyBorder="1"/>
    <xf numFmtId="167" fontId="0" fillId="0" borderId="12" xfId="21" applyNumberFormat="1" applyFont="1" applyBorder="1"/>
    <xf numFmtId="167" fontId="0" fillId="0" borderId="11" xfId="21" applyNumberFormat="1" applyFont="1" applyBorder="1"/>
    <xf numFmtId="0" fontId="45" fillId="0" borderId="12" xfId="0" applyFont="1" applyBorder="1" applyAlignment="1">
      <alignment horizontal="center"/>
    </xf>
    <xf numFmtId="0" fontId="0" fillId="0" borderId="0" xfId="0" quotePrefix="1" applyAlignment="1">
      <alignment horizontal="center"/>
    </xf>
    <xf numFmtId="0" fontId="38" fillId="0" borderId="6" xfId="0" applyFont="1" applyBorder="1"/>
    <xf numFmtId="0" fontId="29" fillId="5" borderId="11" xfId="0" applyFont="1" applyFill="1" applyBorder="1" applyAlignment="1">
      <alignment horizontal="center"/>
    </xf>
    <xf numFmtId="0" fontId="29" fillId="5" borderId="12" xfId="0" applyFont="1" applyFill="1" applyBorder="1" applyAlignment="1">
      <alignment horizontal="center"/>
    </xf>
    <xf numFmtId="16" fontId="18" fillId="0" borderId="10" xfId="0" applyNumberFormat="1" applyFont="1" applyBorder="1" applyAlignment="1">
      <alignment horizontal="center"/>
    </xf>
    <xf numFmtId="169" fontId="18" fillId="0" borderId="9" xfId="0" applyNumberFormat="1" applyFont="1" applyBorder="1"/>
    <xf numFmtId="16" fontId="18" fillId="0" borderId="12" xfId="0" applyNumberFormat="1" applyFont="1" applyBorder="1" applyAlignment="1">
      <alignment horizontal="center"/>
    </xf>
    <xf numFmtId="0" fontId="18" fillId="0" borderId="6" xfId="0" applyFont="1" applyBorder="1"/>
    <xf numFmtId="169" fontId="18" fillId="0" borderId="6" xfId="0" applyNumberFormat="1" applyFont="1" applyBorder="1"/>
    <xf numFmtId="16" fontId="18" fillId="0" borderId="13" xfId="0" applyNumberFormat="1" applyFont="1" applyBorder="1" applyAlignment="1">
      <alignment horizontal="center"/>
    </xf>
    <xf numFmtId="169" fontId="18" fillId="0" borderId="15" xfId="0" applyNumberFormat="1" applyFont="1" applyBorder="1"/>
    <xf numFmtId="5" fontId="18" fillId="0" borderId="15" xfId="0" applyNumberFormat="1" applyFont="1" applyBorder="1"/>
    <xf numFmtId="0" fontId="18" fillId="25" borderId="15" xfId="0" applyFont="1" applyFill="1" applyBorder="1"/>
    <xf numFmtId="0" fontId="18" fillId="25" borderId="9" xfId="0" applyFont="1" applyFill="1" applyBorder="1"/>
    <xf numFmtId="0" fontId="18" fillId="26" borderId="15" xfId="0" applyFont="1" applyFill="1" applyBorder="1"/>
    <xf numFmtId="175" fontId="0" fillId="0" borderId="3" xfId="0" applyNumberFormat="1" applyBorder="1"/>
    <xf numFmtId="180" fontId="0" fillId="0" borderId="0" xfId="0" applyNumberFormat="1" applyAlignment="1">
      <alignment horizontal="left"/>
    </xf>
    <xf numFmtId="167" fontId="11" fillId="0" borderId="10" xfId="21" applyNumberFormat="1" applyFont="1" applyBorder="1"/>
    <xf numFmtId="167" fontId="11" fillId="5" borderId="10" xfId="21" applyNumberFormat="1" applyFont="1" applyFill="1" applyBorder="1"/>
    <xf numFmtId="0" fontId="29" fillId="0" borderId="1" xfId="0" applyFont="1" applyBorder="1" applyAlignment="1">
      <alignment horizontal="center"/>
    </xf>
    <xf numFmtId="167" fontId="0" fillId="4" borderId="10" xfId="0" applyNumberFormat="1" applyFill="1" applyBorder="1" applyAlignment="1">
      <alignment horizontal="right"/>
    </xf>
    <xf numFmtId="0" fontId="11" fillId="16" borderId="9" xfId="0" applyFont="1" applyFill="1" applyBorder="1" applyAlignment="1">
      <alignment horizontal="left"/>
    </xf>
    <xf numFmtId="3" fontId="11" fillId="0" borderId="0" xfId="0" applyNumberFormat="1" applyFont="1"/>
    <xf numFmtId="0" fontId="11" fillId="0" borderId="0" xfId="0" quotePrefix="1" applyFont="1" applyAlignment="1">
      <alignment horizontal="left"/>
    </xf>
    <xf numFmtId="15" fontId="11" fillId="0" borderId="0" xfId="0" quotePrefix="1" applyNumberFormat="1" applyFont="1"/>
    <xf numFmtId="3" fontId="11" fillId="0" borderId="10" xfId="0" applyNumberFormat="1" applyFont="1" applyBorder="1"/>
    <xf numFmtId="3" fontId="0" fillId="5" borderId="10" xfId="0" applyNumberFormat="1" applyFill="1" applyBorder="1"/>
    <xf numFmtId="167" fontId="0" fillId="0" borderId="0" xfId="21" applyNumberFormat="1" applyFont="1" applyBorder="1"/>
    <xf numFmtId="0" fontId="29" fillId="16" borderId="9" xfId="0" applyFont="1" applyFill="1" applyBorder="1" applyAlignment="1">
      <alignment horizontal="center"/>
    </xf>
    <xf numFmtId="0" fontId="29" fillId="5" borderId="0" xfId="0" applyFont="1" applyFill="1" applyAlignment="1">
      <alignment horizontal="center"/>
    </xf>
    <xf numFmtId="0" fontId="29" fillId="11" borderId="0" xfId="0" applyFont="1" applyFill="1" applyAlignment="1">
      <alignment horizontal="center"/>
    </xf>
    <xf numFmtId="0" fontId="29" fillId="16" borderId="10" xfId="0" applyFont="1" applyFill="1" applyBorder="1" applyAlignment="1">
      <alignment horizontal="center"/>
    </xf>
    <xf numFmtId="0" fontId="29" fillId="5" borderId="10" xfId="0" applyFont="1" applyFill="1" applyBorder="1" applyAlignment="1">
      <alignment horizontal="center"/>
    </xf>
    <xf numFmtId="0" fontId="29" fillId="11" borderId="10" xfId="0" applyFont="1" applyFill="1" applyBorder="1" applyAlignment="1">
      <alignment horizontal="center"/>
    </xf>
    <xf numFmtId="0" fontId="29" fillId="0" borderId="12" xfId="0" quotePrefix="1" applyFont="1" applyBorder="1" applyAlignment="1">
      <alignment horizontal="center"/>
    </xf>
    <xf numFmtId="16" fontId="29" fillId="0" borderId="12" xfId="0" quotePrefix="1" applyNumberFormat="1" applyFont="1" applyBorder="1" applyAlignment="1">
      <alignment horizontal="center"/>
    </xf>
    <xf numFmtId="0" fontId="29" fillId="4" borderId="11" xfId="0" applyFont="1" applyFill="1" applyBorder="1" applyAlignment="1">
      <alignment horizontal="center"/>
    </xf>
    <xf numFmtId="0" fontId="29" fillId="4" borderId="13" xfId="0" applyFont="1" applyFill="1" applyBorder="1" applyAlignment="1">
      <alignment horizontal="center"/>
    </xf>
    <xf numFmtId="2" fontId="0" fillId="0" borderId="10" xfId="0" applyNumberFormat="1" applyBorder="1"/>
    <xf numFmtId="2" fontId="11" fillId="0" borderId="10" xfId="0" applyNumberFormat="1" applyFont="1" applyBorder="1"/>
    <xf numFmtId="176" fontId="0" fillId="0" borderId="0" xfId="0" applyNumberFormat="1"/>
    <xf numFmtId="176" fontId="0" fillId="0" borderId="10" xfId="0" applyNumberFormat="1" applyBorder="1"/>
    <xf numFmtId="9" fontId="11" fillId="0" borderId="10" xfId="21" applyFont="1" applyBorder="1"/>
    <xf numFmtId="10" fontId="0" fillId="0" borderId="10" xfId="0" applyNumberFormat="1" applyBorder="1"/>
    <xf numFmtId="16" fontId="11" fillId="0" borderId="10" xfId="0" applyNumberFormat="1" applyFont="1" applyBorder="1"/>
    <xf numFmtId="169" fontId="11" fillId="0" borderId="7" xfId="0" applyNumberFormat="1" applyFont="1" applyBorder="1"/>
    <xf numFmtId="10" fontId="0" fillId="0" borderId="11" xfId="0" applyNumberFormat="1" applyBorder="1"/>
    <xf numFmtId="10" fontId="11" fillId="0" borderId="7" xfId="0" applyNumberFormat="1" applyFont="1" applyBorder="1"/>
    <xf numFmtId="169" fontId="0" fillId="0" borderId="7" xfId="0" applyNumberFormat="1" applyBorder="1"/>
    <xf numFmtId="9" fontId="11" fillId="0" borderId="9" xfId="21" applyFont="1" applyBorder="1"/>
    <xf numFmtId="175" fontId="0" fillId="5" borderId="83" xfId="0" applyNumberFormat="1" applyFill="1" applyBorder="1"/>
    <xf numFmtId="169" fontId="0" fillId="5" borderId="1" xfId="0" applyNumberFormat="1" applyFill="1" applyBorder="1"/>
    <xf numFmtId="175" fontId="11" fillId="5" borderId="10" xfId="0" applyNumberFormat="1" applyFont="1" applyFill="1" applyBorder="1"/>
    <xf numFmtId="169" fontId="11" fillId="5" borderId="7" xfId="0" applyNumberFormat="1" applyFont="1" applyFill="1" applyBorder="1"/>
    <xf numFmtId="9" fontId="11" fillId="5" borderId="10" xfId="21" applyFont="1" applyFill="1" applyBorder="1"/>
    <xf numFmtId="9" fontId="11" fillId="5" borderId="7" xfId="21" applyFont="1" applyFill="1" applyBorder="1"/>
    <xf numFmtId="167" fontId="11" fillId="5" borderId="7" xfId="21" applyNumberFormat="1" applyFont="1" applyFill="1" applyBorder="1"/>
    <xf numFmtId="166" fontId="0" fillId="11" borderId="10" xfId="0" applyNumberFormat="1" applyFill="1" applyBorder="1"/>
    <xf numFmtId="0" fontId="11" fillId="11" borderId="10" xfId="0" applyFont="1" applyFill="1" applyBorder="1"/>
    <xf numFmtId="9" fontId="11" fillId="11" borderId="10" xfId="21" applyFont="1" applyFill="1" applyBorder="1"/>
    <xf numFmtId="167" fontId="11" fillId="11" borderId="10" xfId="21" applyNumberFormat="1" applyFont="1" applyFill="1" applyBorder="1"/>
    <xf numFmtId="0" fontId="11" fillId="16" borderId="12" xfId="0" applyFont="1" applyFill="1" applyBorder="1" applyAlignment="1">
      <alignment horizontal="center"/>
    </xf>
    <xf numFmtId="175" fontId="11" fillId="16" borderId="10" xfId="0" applyNumberFormat="1" applyFont="1" applyFill="1" applyBorder="1"/>
    <xf numFmtId="9" fontId="11" fillId="16" borderId="10" xfId="21" applyFont="1" applyFill="1" applyBorder="1"/>
    <xf numFmtId="167" fontId="11" fillId="16" borderId="10" xfId="21" applyNumberFormat="1" applyFont="1" applyFill="1" applyBorder="1"/>
    <xf numFmtId="175" fontId="0" fillId="4" borderId="10" xfId="0" applyNumberFormat="1" applyFill="1" applyBorder="1"/>
    <xf numFmtId="0" fontId="34" fillId="4" borderId="51" xfId="0" applyFont="1" applyFill="1" applyBorder="1" applyAlignment="1">
      <alignment horizontal="center" vertical="center" wrapText="1"/>
    </xf>
    <xf numFmtId="9" fontId="11" fillId="0" borderId="0" xfId="21" applyFont="1"/>
    <xf numFmtId="0" fontId="19" fillId="0" borderId="1" xfId="0" applyFont="1" applyBorder="1" applyAlignment="1">
      <alignment horizontal="center"/>
    </xf>
    <xf numFmtId="0" fontId="19" fillId="11" borderId="13" xfId="0" applyFont="1" applyFill="1" applyBorder="1" applyAlignment="1">
      <alignment horizontal="center"/>
    </xf>
    <xf numFmtId="169" fontId="18" fillId="11" borderId="10" xfId="0" applyNumberFormat="1" applyFont="1" applyFill="1" applyBorder="1"/>
    <xf numFmtId="9" fontId="0" fillId="11" borderId="10" xfId="21" applyFont="1" applyFill="1" applyBorder="1"/>
    <xf numFmtId="169" fontId="11" fillId="11" borderId="10" xfId="0" applyNumberFormat="1" applyFont="1" applyFill="1" applyBorder="1"/>
    <xf numFmtId="0" fontId="19" fillId="11" borderId="7" xfId="0" applyFont="1" applyFill="1" applyBorder="1" applyAlignment="1">
      <alignment horizontal="center"/>
    </xf>
    <xf numFmtId="0" fontId="19" fillId="11" borderId="9" xfId="0" applyFont="1" applyFill="1" applyBorder="1" applyAlignment="1">
      <alignment horizontal="center"/>
    </xf>
    <xf numFmtId="0" fontId="19" fillId="11" borderId="10" xfId="0" applyFont="1" applyFill="1" applyBorder="1" applyAlignment="1">
      <alignment horizontal="center"/>
    </xf>
    <xf numFmtId="9" fontId="0" fillId="5" borderId="12" xfId="21" applyFont="1" applyFill="1" applyBorder="1"/>
    <xf numFmtId="9" fontId="0" fillId="16" borderId="12" xfId="21" applyFont="1" applyFill="1" applyBorder="1"/>
    <xf numFmtId="9" fontId="11" fillId="0" borderId="10" xfId="21" applyFont="1" applyFill="1" applyBorder="1"/>
    <xf numFmtId="9" fontId="1" fillId="0" borderId="10" xfId="21" applyFont="1" applyFill="1" applyBorder="1"/>
    <xf numFmtId="0" fontId="11" fillId="5" borderId="11" xfId="0" quotePrefix="1" applyFont="1" applyFill="1" applyBorder="1" applyAlignment="1">
      <alignment horizontal="center"/>
    </xf>
    <xf numFmtId="9" fontId="11" fillId="11" borderId="10" xfId="0" applyNumberFormat="1" applyFont="1" applyFill="1" applyBorder="1"/>
    <xf numFmtId="9" fontId="11" fillId="16" borderId="10" xfId="0" applyNumberFormat="1" applyFont="1" applyFill="1" applyBorder="1"/>
    <xf numFmtId="164" fontId="0" fillId="0" borderId="10" xfId="1" applyNumberFormat="1" applyFont="1" applyFill="1" applyBorder="1" applyAlignment="1">
      <alignment horizontal="center"/>
    </xf>
    <xf numFmtId="164" fontId="0" fillId="9" borderId="13" xfId="1" applyNumberFormat="1" applyFont="1" applyFill="1" applyBorder="1"/>
    <xf numFmtId="164" fontId="18" fillId="9" borderId="15" xfId="0" applyNumberFormat="1" applyFont="1" applyFill="1" applyBorder="1"/>
    <xf numFmtId="164" fontId="0" fillId="9" borderId="15" xfId="1" applyNumberFormat="1" applyFont="1" applyFill="1" applyBorder="1"/>
    <xf numFmtId="164" fontId="0" fillId="9" borderId="12" xfId="1" applyNumberFormat="1" applyFont="1" applyFill="1" applyBorder="1"/>
    <xf numFmtId="167" fontId="20" fillId="0" borderId="11" xfId="21" applyNumberFormat="1" applyFont="1" applyFill="1" applyBorder="1" applyAlignment="1">
      <alignment horizontal="center"/>
    </xf>
    <xf numFmtId="0" fontId="11" fillId="16" borderId="7" xfId="0" applyFont="1" applyFill="1" applyBorder="1"/>
    <xf numFmtId="0" fontId="0" fillId="16" borderId="9" xfId="0" applyFill="1" applyBorder="1"/>
    <xf numFmtId="2" fontId="0" fillId="16" borderId="10" xfId="0" applyNumberFormat="1" applyFill="1" applyBorder="1" applyAlignment="1">
      <alignment horizontal="center"/>
    </xf>
    <xf numFmtId="170" fontId="11" fillId="16" borderId="9" xfId="0" applyNumberFormat="1" applyFont="1" applyFill="1" applyBorder="1"/>
    <xf numFmtId="0" fontId="18" fillId="0" borderId="11" xfId="0" applyFont="1" applyBorder="1"/>
    <xf numFmtId="164" fontId="0" fillId="5" borderId="23" xfId="1" applyNumberFormat="1" applyFont="1" applyFill="1" applyBorder="1"/>
    <xf numFmtId="164" fontId="11" fillId="5" borderId="7" xfId="0" applyNumberFormat="1" applyFont="1" applyFill="1" applyBorder="1"/>
    <xf numFmtId="164" fontId="11" fillId="5" borderId="8" xfId="0" applyNumberFormat="1" applyFont="1" applyFill="1" applyBorder="1"/>
    <xf numFmtId="164" fontId="11" fillId="5" borderId="8" xfId="1" applyNumberFormat="1" applyFont="1" applyFill="1" applyBorder="1"/>
    <xf numFmtId="44" fontId="11" fillId="5" borderId="10" xfId="1" applyFont="1" applyFill="1" applyBorder="1" applyAlignment="1">
      <alignment horizontal="center"/>
    </xf>
    <xf numFmtId="44" fontId="11" fillId="16" borderId="10" xfId="1" applyFont="1" applyFill="1" applyBorder="1" applyAlignment="1">
      <alignment horizontal="center"/>
    </xf>
    <xf numFmtId="169" fontId="11" fillId="16" borderId="10" xfId="0" applyNumberFormat="1" applyFont="1" applyFill="1" applyBorder="1"/>
    <xf numFmtId="164" fontId="11" fillId="16" borderId="9" xfId="0" applyNumberFormat="1" applyFont="1" applyFill="1" applyBorder="1"/>
    <xf numFmtId="169" fontId="0" fillId="11" borderId="7" xfId="0" applyNumberFormat="1" applyFill="1" applyBorder="1"/>
    <xf numFmtId="169" fontId="0" fillId="5" borderId="0" xfId="0" applyNumberFormat="1" applyFill="1"/>
    <xf numFmtId="169" fontId="0" fillId="11" borderId="0" xfId="0" applyNumberFormat="1" applyFill="1"/>
    <xf numFmtId="0" fontId="45" fillId="0" borderId="12" xfId="0" quotePrefix="1" applyFont="1" applyBorder="1" applyAlignment="1">
      <alignment horizontal="center"/>
    </xf>
    <xf numFmtId="167" fontId="20" fillId="0" borderId="15" xfId="21" applyNumberFormat="1" applyFont="1" applyFill="1" applyBorder="1" applyAlignment="1">
      <alignment horizontal="center"/>
    </xf>
    <xf numFmtId="0" fontId="11" fillId="5" borderId="7" xfId="0" applyFont="1" applyFill="1" applyBorder="1"/>
    <xf numFmtId="169" fontId="18" fillId="5" borderId="10" xfId="0" applyNumberFormat="1" applyFont="1" applyFill="1" applyBorder="1"/>
    <xf numFmtId="169" fontId="18" fillId="16" borderId="10" xfId="0" applyNumberFormat="1" applyFont="1" applyFill="1" applyBorder="1"/>
    <xf numFmtId="0" fontId="11" fillId="4" borderId="10" xfId="0" applyFont="1" applyFill="1" applyBorder="1"/>
    <xf numFmtId="0" fontId="11" fillId="4" borderId="7" xfId="0" applyFont="1" applyFill="1" applyBorder="1"/>
    <xf numFmtId="169" fontId="11" fillId="4" borderId="12" xfId="0" applyNumberFormat="1" applyFont="1" applyFill="1" applyBorder="1" applyAlignment="1">
      <alignment horizontal="center"/>
    </xf>
    <xf numFmtId="0" fontId="11" fillId="4" borderId="11" xfId="0" quotePrefix="1" applyFont="1" applyFill="1" applyBorder="1" applyAlignment="1">
      <alignment horizontal="center"/>
    </xf>
    <xf numFmtId="175" fontId="11" fillId="4" borderId="10" xfId="0" applyNumberFormat="1" applyFont="1" applyFill="1" applyBorder="1" applyAlignment="1">
      <alignment horizontal="center"/>
    </xf>
    <xf numFmtId="167" fontId="11" fillId="4" borderId="10" xfId="21" applyNumberFormat="1" applyFont="1" applyFill="1" applyBorder="1" applyAlignment="1">
      <alignment horizontal="center"/>
    </xf>
    <xf numFmtId="166" fontId="18" fillId="0" borderId="10" xfId="0" applyNumberFormat="1" applyFont="1" applyBorder="1" applyAlignment="1">
      <alignment horizontal="center"/>
    </xf>
    <xf numFmtId="0" fontId="11" fillId="4" borderId="8" xfId="0" applyFont="1" applyFill="1" applyBorder="1"/>
    <xf numFmtId="169" fontId="0" fillId="0" borderId="1" xfId="0" applyNumberFormat="1" applyBorder="1"/>
    <xf numFmtId="169" fontId="0" fillId="0" borderId="4" xfId="0" applyNumberFormat="1" applyBorder="1"/>
    <xf numFmtId="5" fontId="0" fillId="0" borderId="7" xfId="14" applyNumberFormat="1" applyFont="1" applyFill="1" applyBorder="1"/>
    <xf numFmtId="5" fontId="0" fillId="0" borderId="4" xfId="14" applyNumberFormat="1" applyFont="1" applyFill="1" applyBorder="1"/>
    <xf numFmtId="5" fontId="0" fillId="11" borderId="13" xfId="14" applyNumberFormat="1" applyFont="1" applyFill="1" applyBorder="1"/>
    <xf numFmtId="5" fontId="0" fillId="11" borderId="12" xfId="14" applyNumberFormat="1" applyFont="1" applyFill="1" applyBorder="1"/>
    <xf numFmtId="5" fontId="0" fillId="11" borderId="10" xfId="14" applyNumberFormat="1" applyFont="1" applyFill="1" applyBorder="1"/>
    <xf numFmtId="5" fontId="0" fillId="0" borderId="1" xfId="14" applyNumberFormat="1" applyFont="1" applyFill="1" applyBorder="1"/>
    <xf numFmtId="5" fontId="0" fillId="0" borderId="3" xfId="14" applyNumberFormat="1" applyFont="1" applyFill="1" applyBorder="1"/>
    <xf numFmtId="5" fontId="0" fillId="0" borderId="14" xfId="14" applyNumberFormat="1" applyFont="1" applyFill="1" applyBorder="1"/>
    <xf numFmtId="5" fontId="0" fillId="0" borderId="15" xfId="14" applyNumberFormat="1" applyFont="1" applyFill="1" applyBorder="1"/>
    <xf numFmtId="9" fontId="0" fillId="0" borderId="0" xfId="0" applyNumberFormat="1" applyAlignment="1">
      <alignment horizontal="left"/>
    </xf>
    <xf numFmtId="0" fontId="0" fillId="7" borderId="10" xfId="0" applyFill="1" applyBorder="1"/>
    <xf numFmtId="0" fontId="0" fillId="7" borderId="0" xfId="0" applyFill="1"/>
    <xf numFmtId="0" fontId="0" fillId="7" borderId="5" xfId="0" applyFill="1" applyBorder="1"/>
    <xf numFmtId="4" fontId="0" fillId="0" borderId="0" xfId="0" applyNumberFormat="1"/>
    <xf numFmtId="173" fontId="0" fillId="0" borderId="0" xfId="0" applyNumberFormat="1"/>
    <xf numFmtId="4" fontId="0" fillId="0" borderId="12" xfId="0" applyNumberFormat="1" applyBorder="1" applyAlignment="1">
      <alignment horizontal="center"/>
    </xf>
    <xf numFmtId="4" fontId="0" fillId="16" borderId="10" xfId="0" applyNumberFormat="1" applyFill="1" applyBorder="1" applyAlignment="1">
      <alignment horizontal="center"/>
    </xf>
    <xf numFmtId="16" fontId="35" fillId="0" borderId="0" xfId="0" applyNumberFormat="1" applyFont="1" applyAlignment="1">
      <alignment horizontal="center" vertical="center" wrapText="1"/>
    </xf>
    <xf numFmtId="3" fontId="11" fillId="0" borderId="0" xfId="0" applyNumberFormat="1" applyFont="1" applyAlignment="1">
      <alignment horizontal="center"/>
    </xf>
    <xf numFmtId="5" fontId="0" fillId="0" borderId="12" xfId="14" applyNumberFormat="1" applyFont="1" applyFill="1" applyBorder="1"/>
    <xf numFmtId="0" fontId="11" fillId="5" borderId="10" xfId="0" applyFont="1" applyFill="1" applyBorder="1"/>
    <xf numFmtId="179" fontId="0" fillId="0" borderId="10" xfId="1" applyNumberFormat="1" applyFont="1" applyFill="1" applyBorder="1" applyAlignment="1">
      <alignment horizontal="right"/>
    </xf>
    <xf numFmtId="179" fontId="0" fillId="2" borderId="10" xfId="1" applyNumberFormat="1" applyFont="1" applyFill="1" applyBorder="1" applyAlignment="1">
      <alignment horizontal="right"/>
    </xf>
    <xf numFmtId="9" fontId="11" fillId="16" borderId="9" xfId="21" applyFont="1" applyFill="1" applyBorder="1" applyAlignment="1">
      <alignment horizontal="center"/>
    </xf>
    <xf numFmtId="0" fontId="30" fillId="0" borderId="12" xfId="0" applyFont="1" applyBorder="1" applyAlignment="1">
      <alignment horizontal="center"/>
    </xf>
    <xf numFmtId="0" fontId="11" fillId="0" borderId="8" xfId="0" applyFont="1" applyBorder="1" applyAlignment="1">
      <alignment horizontal="left"/>
    </xf>
    <xf numFmtId="164" fontId="0" fillId="0" borderId="9" xfId="1" applyNumberFormat="1" applyFont="1" applyFill="1" applyBorder="1"/>
    <xf numFmtId="164" fontId="0" fillId="0" borderId="8" xfId="0" applyNumberFormat="1" applyBorder="1" applyAlignment="1">
      <alignment horizontal="center"/>
    </xf>
    <xf numFmtId="166" fontId="0" fillId="0" borderId="8" xfId="0" applyNumberFormat="1" applyBorder="1" applyAlignment="1">
      <alignment horizontal="center"/>
    </xf>
    <xf numFmtId="179" fontId="0" fillId="0" borderId="8" xfId="1" applyNumberFormat="1" applyFont="1" applyFill="1" applyBorder="1" applyAlignment="1">
      <alignment horizontal="right"/>
    </xf>
    <xf numFmtId="9" fontId="0" fillId="5" borderId="9" xfId="21" applyFont="1" applyFill="1" applyBorder="1" applyAlignment="1">
      <alignment horizontal="center"/>
    </xf>
    <xf numFmtId="164" fontId="0" fillId="5" borderId="10" xfId="1" applyNumberFormat="1" applyFont="1" applyFill="1" applyBorder="1"/>
    <xf numFmtId="164" fontId="0" fillId="5" borderId="10" xfId="0" applyNumberFormat="1" applyFill="1" applyBorder="1" applyAlignment="1">
      <alignment horizontal="center"/>
    </xf>
    <xf numFmtId="0" fontId="11" fillId="16" borderId="8" xfId="0" applyFont="1" applyFill="1" applyBorder="1" applyAlignment="1">
      <alignment horizontal="left"/>
    </xf>
    <xf numFmtId="0" fontId="11" fillId="16" borderId="8" xfId="0" applyFont="1" applyFill="1" applyBorder="1"/>
    <xf numFmtId="164" fontId="11" fillId="16" borderId="10" xfId="1" applyNumberFormat="1" applyFont="1" applyFill="1" applyBorder="1"/>
    <xf numFmtId="166" fontId="11" fillId="16" borderId="10" xfId="0" applyNumberFormat="1" applyFont="1" applyFill="1" applyBorder="1" applyAlignment="1">
      <alignment horizontal="center"/>
    </xf>
    <xf numFmtId="0" fontId="0" fillId="5" borderId="8" xfId="0" applyFill="1" applyBorder="1" applyAlignment="1">
      <alignment horizontal="left"/>
    </xf>
    <xf numFmtId="164" fontId="0" fillId="0" borderId="5" xfId="1" applyNumberFormat="1" applyFont="1" applyFill="1" applyBorder="1"/>
    <xf numFmtId="9" fontId="0" fillId="0" borderId="5" xfId="21" applyFont="1" applyFill="1" applyBorder="1"/>
    <xf numFmtId="2" fontId="0" fillId="0" borderId="5" xfId="0" applyNumberFormat="1" applyBorder="1" applyAlignment="1">
      <alignment horizontal="center"/>
    </xf>
    <xf numFmtId="174" fontId="6" fillId="0" borderId="11" xfId="1" applyNumberFormat="1" applyFont="1" applyFill="1" applyBorder="1" applyAlignment="1">
      <alignment horizontal="center"/>
    </xf>
    <xf numFmtId="178" fontId="0" fillId="0" borderId="13" xfId="1" applyNumberFormat="1" applyFont="1" applyFill="1" applyBorder="1" applyAlignment="1">
      <alignment horizontal="center"/>
    </xf>
    <xf numFmtId="166" fontId="0" fillId="0" borderId="5" xfId="0" applyNumberFormat="1" applyBorder="1" applyAlignment="1">
      <alignment horizontal="center"/>
    </xf>
    <xf numFmtId="166" fontId="0" fillId="0" borderId="2" xfId="0" applyNumberFormat="1" applyBorder="1" applyAlignment="1">
      <alignment horizontal="center"/>
    </xf>
    <xf numFmtId="176" fontId="0" fillId="0" borderId="12" xfId="0" applyNumberFormat="1" applyBorder="1" applyAlignment="1">
      <alignment horizontal="center"/>
    </xf>
    <xf numFmtId="176" fontId="18" fillId="0" borderId="12" xfId="0" applyNumberFormat="1" applyFont="1" applyBorder="1" applyAlignment="1">
      <alignment horizontal="center"/>
    </xf>
    <xf numFmtId="169" fontId="0" fillId="16" borderId="9" xfId="0" applyNumberFormat="1" applyFill="1" applyBorder="1"/>
    <xf numFmtId="175" fontId="0" fillId="0" borderId="7" xfId="0" applyNumberFormat="1" applyBorder="1"/>
    <xf numFmtId="169" fontId="11" fillId="0" borderId="9" xfId="0" applyNumberFormat="1" applyFont="1" applyBorder="1"/>
    <xf numFmtId="10" fontId="0" fillId="0" borderId="0" xfId="0" applyNumberFormat="1"/>
    <xf numFmtId="1" fontId="0" fillId="5" borderId="13" xfId="0" quotePrefix="1" applyNumberFormat="1" applyFill="1" applyBorder="1" applyAlignment="1">
      <alignment horizontal="center"/>
    </xf>
    <xf numFmtId="176" fontId="0" fillId="5" borderId="13" xfId="0" applyNumberFormat="1" applyFill="1" applyBorder="1" applyAlignment="1">
      <alignment horizontal="center"/>
    </xf>
    <xf numFmtId="4" fontId="0" fillId="5" borderId="10" xfId="0" applyNumberFormat="1" applyFill="1" applyBorder="1" applyAlignment="1">
      <alignment horizontal="center"/>
    </xf>
    <xf numFmtId="169" fontId="0" fillId="5" borderId="13" xfId="0" applyNumberFormat="1" applyFill="1" applyBorder="1" applyAlignment="1">
      <alignment horizontal="center"/>
    </xf>
    <xf numFmtId="177" fontId="0" fillId="5" borderId="13" xfId="0" applyNumberFormat="1" applyFill="1" applyBorder="1" applyAlignment="1">
      <alignment horizontal="center"/>
    </xf>
    <xf numFmtId="170" fontId="11" fillId="16" borderId="10" xfId="0" applyNumberFormat="1" applyFont="1" applyFill="1" applyBorder="1" applyAlignment="1">
      <alignment horizontal="center"/>
    </xf>
    <xf numFmtId="167" fontId="11" fillId="0" borderId="10" xfId="21" applyNumberFormat="1" applyFont="1" applyFill="1" applyBorder="1"/>
    <xf numFmtId="0" fontId="0" fillId="0" borderId="51" xfId="0" applyBorder="1" applyAlignment="1">
      <alignment horizontal="center"/>
    </xf>
    <xf numFmtId="166" fontId="0" fillId="0" borderId="51" xfId="0" applyNumberFormat="1" applyBorder="1" applyAlignment="1">
      <alignment horizontal="center"/>
    </xf>
    <xf numFmtId="166" fontId="0" fillId="5" borderId="51" xfId="0" applyNumberFormat="1" applyFill="1" applyBorder="1" applyAlignment="1">
      <alignment horizontal="center"/>
    </xf>
    <xf numFmtId="166" fontId="0" fillId="16" borderId="51" xfId="0" applyNumberFormat="1" applyFill="1" applyBorder="1" applyAlignment="1">
      <alignment horizontal="center"/>
    </xf>
    <xf numFmtId="169" fontId="0" fillId="16" borderId="7" xfId="0" applyNumberFormat="1" applyFill="1" applyBorder="1"/>
    <xf numFmtId="0" fontId="29" fillId="21" borderId="11" xfId="0" applyFont="1" applyFill="1" applyBorder="1" applyAlignment="1">
      <alignment horizontal="center"/>
    </xf>
    <xf numFmtId="0" fontId="29" fillId="21" borderId="12" xfId="0" applyFont="1" applyFill="1" applyBorder="1" applyAlignment="1">
      <alignment horizontal="center"/>
    </xf>
    <xf numFmtId="9" fontId="0" fillId="21" borderId="10" xfId="21" applyFont="1" applyFill="1" applyBorder="1" applyAlignment="1">
      <alignment horizontal="center"/>
    </xf>
    <xf numFmtId="9" fontId="0" fillId="21" borderId="10" xfId="21" applyFont="1" applyFill="1" applyBorder="1"/>
    <xf numFmtId="0" fontId="11" fillId="21" borderId="10" xfId="0" applyFont="1" applyFill="1" applyBorder="1"/>
    <xf numFmtId="175" fontId="0" fillId="0" borderId="91" xfId="0" applyNumberFormat="1" applyBorder="1"/>
    <xf numFmtId="167" fontId="11" fillId="0" borderId="13" xfId="21" applyNumberFormat="1" applyFont="1" applyFill="1" applyBorder="1"/>
    <xf numFmtId="9" fontId="0" fillId="0" borderId="12" xfId="21" applyFont="1" applyFill="1" applyBorder="1" applyAlignment="1">
      <alignment horizontal="center"/>
    </xf>
    <xf numFmtId="9" fontId="0" fillId="0" borderId="11" xfId="21" applyFont="1" applyBorder="1"/>
    <xf numFmtId="9" fontId="11" fillId="5" borderId="27" xfId="21" applyFont="1" applyFill="1" applyBorder="1"/>
    <xf numFmtId="181" fontId="0" fillId="0" borderId="0" xfId="0" applyNumberFormat="1"/>
    <xf numFmtId="181" fontId="0" fillId="0" borderId="10" xfId="0" applyNumberFormat="1" applyBorder="1"/>
    <xf numFmtId="181" fontId="11" fillId="0" borderId="10" xfId="0" applyNumberFormat="1" applyFont="1" applyBorder="1"/>
    <xf numFmtId="169" fontId="11" fillId="0" borderId="12" xfId="0" applyNumberFormat="1" applyFont="1" applyBorder="1" applyAlignment="1">
      <alignment horizontal="right"/>
    </xf>
    <xf numFmtId="169" fontId="11" fillId="16" borderId="12" xfId="0" applyNumberFormat="1" applyFont="1" applyFill="1" applyBorder="1" applyAlignment="1">
      <alignment horizontal="right"/>
    </xf>
    <xf numFmtId="9" fontId="11" fillId="0" borderId="10" xfId="0" applyNumberFormat="1" applyFont="1" applyBorder="1" applyAlignment="1">
      <alignment horizontal="center"/>
    </xf>
    <xf numFmtId="44" fontId="0" fillId="14" borderId="13" xfId="1" applyFont="1" applyFill="1" applyBorder="1" applyAlignment="1">
      <alignment horizontal="center"/>
    </xf>
    <xf numFmtId="166" fontId="11" fillId="0" borderId="0" xfId="0" applyNumberFormat="1" applyFont="1"/>
    <xf numFmtId="167" fontId="11" fillId="0" borderId="0" xfId="21" applyNumberFormat="1" applyFont="1" applyFill="1" applyBorder="1"/>
    <xf numFmtId="167" fontId="11" fillId="0" borderId="10" xfId="21" applyNumberFormat="1" applyFont="1" applyBorder="1" applyAlignment="1">
      <alignment horizontal="center"/>
    </xf>
    <xf numFmtId="175" fontId="11" fillId="0" borderId="12" xfId="0" applyNumberFormat="1" applyFont="1" applyBorder="1" applyAlignment="1">
      <alignment horizontal="center"/>
    </xf>
    <xf numFmtId="9" fontId="11" fillId="0" borderId="10" xfId="0" applyNumberFormat="1" applyFont="1" applyBorder="1"/>
    <xf numFmtId="0" fontId="11" fillId="11" borderId="9" xfId="0" applyFont="1" applyFill="1" applyBorder="1" applyAlignment="1">
      <alignment horizontal="left"/>
    </xf>
    <xf numFmtId="175" fontId="11" fillId="11" borderId="10" xfId="0" applyNumberFormat="1" applyFont="1" applyFill="1" applyBorder="1" applyAlignment="1">
      <alignment horizontal="center"/>
    </xf>
    <xf numFmtId="2" fontId="11" fillId="0" borderId="7" xfId="0" applyNumberFormat="1" applyFont="1" applyBorder="1"/>
    <xf numFmtId="0" fontId="11" fillId="5" borderId="9" xfId="0" applyFont="1" applyFill="1" applyBorder="1" applyAlignment="1">
      <alignment horizontal="left"/>
    </xf>
    <xf numFmtId="175" fontId="0" fillId="0" borderId="11" xfId="0" applyNumberFormat="1" applyBorder="1" applyAlignment="1">
      <alignment horizontal="center"/>
    </xf>
    <xf numFmtId="9" fontId="0" fillId="0" borderId="10" xfId="21" applyFont="1" applyFill="1" applyBorder="1" applyAlignment="1">
      <alignment horizontal="center"/>
    </xf>
    <xf numFmtId="167" fontId="0" fillId="0" borderId="61" xfId="21" applyNumberFormat="1" applyFont="1" applyFill="1" applyBorder="1" applyAlignment="1">
      <alignment horizontal="center"/>
    </xf>
    <xf numFmtId="167" fontId="0" fillId="0" borderId="58" xfId="21" applyNumberFormat="1" applyFont="1" applyFill="1" applyBorder="1" applyAlignment="1">
      <alignment horizontal="center"/>
    </xf>
    <xf numFmtId="165" fontId="0" fillId="0" borderId="0" xfId="14" applyNumberFormat="1" applyFont="1" applyAlignment="1"/>
    <xf numFmtId="164" fontId="11" fillId="16" borderId="9" xfId="0" applyNumberFormat="1" applyFont="1" applyFill="1" applyBorder="1" applyAlignment="1">
      <alignment horizontal="center"/>
    </xf>
    <xf numFmtId="164" fontId="11" fillId="0" borderId="14" xfId="0" applyNumberFormat="1" applyFont="1" applyBorder="1" applyAlignment="1">
      <alignment horizontal="center"/>
    </xf>
    <xf numFmtId="169" fontId="0" fillId="5" borderId="11" xfId="0" applyNumberFormat="1" applyFill="1" applyBorder="1" applyAlignment="1">
      <alignment horizontal="center"/>
    </xf>
    <xf numFmtId="167" fontId="0" fillId="0" borderId="9" xfId="21" applyNumberFormat="1" applyFont="1" applyBorder="1" applyAlignment="1">
      <alignment horizontal="center"/>
    </xf>
    <xf numFmtId="2" fontId="11" fillId="16" borderId="1" xfId="0" applyNumberFormat="1" applyFont="1" applyFill="1" applyBorder="1" applyAlignment="1">
      <alignment horizontal="center"/>
    </xf>
    <xf numFmtId="2" fontId="11" fillId="16" borderId="3" xfId="21" applyNumberFormat="1" applyFont="1" applyFill="1" applyBorder="1" applyAlignment="1">
      <alignment horizontal="center"/>
    </xf>
    <xf numFmtId="4" fontId="11" fillId="16" borderId="11" xfId="0" applyNumberFormat="1" applyFont="1" applyFill="1" applyBorder="1" applyAlignment="1">
      <alignment horizontal="center"/>
    </xf>
    <xf numFmtId="0" fontId="11" fillId="5" borderId="7" xfId="0" applyFont="1" applyFill="1" applyBorder="1" applyAlignment="1">
      <alignment horizontal="center"/>
    </xf>
    <xf numFmtId="166" fontId="0" fillId="16" borderId="11" xfId="0" applyNumberFormat="1" applyFill="1" applyBorder="1"/>
    <xf numFmtId="166" fontId="0" fillId="16" borderId="13" xfId="0" applyNumberFormat="1" applyFill="1" applyBorder="1"/>
    <xf numFmtId="166" fontId="0" fillId="16" borderId="12" xfId="0" applyNumberFormat="1" applyFill="1" applyBorder="1"/>
    <xf numFmtId="0" fontId="0" fillId="0" borderId="11" xfId="0" applyBorder="1" applyAlignment="1">
      <alignment horizontal="left"/>
    </xf>
    <xf numFmtId="9" fontId="2" fillId="5" borderId="11" xfId="21" applyFont="1" applyFill="1" applyBorder="1"/>
    <xf numFmtId="175" fontId="0" fillId="5" borderId="11" xfId="0" applyNumberFormat="1" applyFill="1" applyBorder="1"/>
    <xf numFmtId="9" fontId="1" fillId="5" borderId="10" xfId="21" applyFont="1" applyFill="1" applyBorder="1"/>
    <xf numFmtId="167" fontId="1" fillId="5" borderId="9" xfId="21" applyNumberFormat="1" applyFont="1" applyFill="1" applyBorder="1"/>
    <xf numFmtId="169" fontId="0" fillId="11" borderId="38" xfId="0" applyNumberFormat="1" applyFill="1" applyBorder="1"/>
    <xf numFmtId="169" fontId="0" fillId="11" borderId="57" xfId="0" applyNumberFormat="1" applyFill="1" applyBorder="1"/>
    <xf numFmtId="169" fontId="0" fillId="11" borderId="84" xfId="0" applyNumberFormat="1" applyFill="1" applyBorder="1"/>
    <xf numFmtId="9" fontId="1" fillId="11" borderId="10" xfId="21" applyFont="1" applyFill="1" applyBorder="1"/>
    <xf numFmtId="167" fontId="1" fillId="11" borderId="10" xfId="21" applyNumberFormat="1" applyFont="1" applyFill="1" applyBorder="1"/>
    <xf numFmtId="0" fontId="0" fillId="16" borderId="51" xfId="0" applyFill="1" applyBorder="1"/>
    <xf numFmtId="166" fontId="0" fillId="16" borderId="60" xfId="0" applyNumberFormat="1" applyFill="1" applyBorder="1"/>
    <xf numFmtId="166" fontId="0" fillId="16" borderId="10" xfId="0" applyNumberFormat="1" applyFill="1" applyBorder="1"/>
    <xf numFmtId="175" fontId="0" fillId="0" borderId="8" xfId="0" applyNumberFormat="1" applyBorder="1"/>
    <xf numFmtId="0" fontId="0" fillId="16" borderId="61" xfId="0" applyFill="1" applyBorder="1"/>
    <xf numFmtId="0" fontId="11" fillId="16" borderId="13" xfId="0" applyFont="1" applyFill="1" applyBorder="1" applyAlignment="1">
      <alignment horizontal="center"/>
    </xf>
    <xf numFmtId="0" fontId="29" fillId="11" borderId="7" xfId="0" applyFont="1" applyFill="1" applyBorder="1" applyAlignment="1">
      <alignment horizontal="center"/>
    </xf>
    <xf numFmtId="167" fontId="0" fillId="5" borderId="11" xfId="21" applyNumberFormat="1" applyFont="1" applyFill="1" applyBorder="1"/>
    <xf numFmtId="167" fontId="0" fillId="11" borderId="11" xfId="21" applyNumberFormat="1" applyFont="1" applyFill="1" applyBorder="1"/>
    <xf numFmtId="166" fontId="0" fillId="5" borderId="53" xfId="0" applyNumberFormat="1" applyFill="1" applyBorder="1" applyAlignment="1">
      <alignment horizontal="center"/>
    </xf>
    <xf numFmtId="0" fontId="0" fillId="5" borderId="53" xfId="0" applyFill="1" applyBorder="1" applyAlignment="1">
      <alignment horizontal="center"/>
    </xf>
    <xf numFmtId="169" fontId="0" fillId="11" borderId="54" xfId="0" applyNumberFormat="1" applyFill="1" applyBorder="1"/>
    <xf numFmtId="166" fontId="0" fillId="0" borderId="42" xfId="0" applyNumberFormat="1" applyBorder="1"/>
    <xf numFmtId="0" fontId="0" fillId="0" borderId="53" xfId="0" applyBorder="1" applyAlignment="1">
      <alignment horizontal="center"/>
    </xf>
    <xf numFmtId="166" fontId="0" fillId="0" borderId="53" xfId="0" applyNumberFormat="1" applyBorder="1" applyAlignment="1">
      <alignment horizontal="center"/>
    </xf>
    <xf numFmtId="166" fontId="0" fillId="16" borderId="53" xfId="0" applyNumberFormat="1" applyFill="1" applyBorder="1" applyAlignment="1">
      <alignment horizontal="center"/>
    </xf>
    <xf numFmtId="9" fontId="11" fillId="5" borderId="10" xfId="0" applyNumberFormat="1" applyFont="1" applyFill="1" applyBorder="1" applyAlignment="1">
      <alignment horizontal="center"/>
    </xf>
    <xf numFmtId="167" fontId="11" fillId="0" borderId="10" xfId="0" applyNumberFormat="1" applyFont="1" applyBorder="1"/>
    <xf numFmtId="16" fontId="11" fillId="3" borderId="10" xfId="0" quotePrefix="1" applyNumberFormat="1" applyFont="1" applyFill="1" applyBorder="1" applyAlignment="1">
      <alignment horizontal="center"/>
    </xf>
    <xf numFmtId="5" fontId="0" fillId="0" borderId="11" xfId="14" applyNumberFormat="1" applyFont="1" applyFill="1" applyBorder="1"/>
    <xf numFmtId="169" fontId="0" fillId="11" borderId="5" xfId="0" applyNumberFormat="1" applyFill="1" applyBorder="1"/>
    <xf numFmtId="5" fontId="0" fillId="11" borderId="7" xfId="14" applyNumberFormat="1" applyFont="1" applyFill="1" applyBorder="1"/>
    <xf numFmtId="5" fontId="0" fillId="11" borderId="9" xfId="14" applyNumberFormat="1" applyFont="1" applyFill="1" applyBorder="1"/>
    <xf numFmtId="169" fontId="0" fillId="11" borderId="2" xfId="0" applyNumberFormat="1" applyFill="1" applyBorder="1"/>
    <xf numFmtId="5" fontId="0" fillId="11" borderId="1" xfId="14" applyNumberFormat="1" applyFont="1" applyFill="1" applyBorder="1"/>
    <xf numFmtId="5" fontId="0" fillId="11" borderId="14" xfId="14" applyNumberFormat="1" applyFont="1" applyFill="1" applyBorder="1"/>
    <xf numFmtId="5" fontId="0" fillId="11" borderId="4" xfId="14" applyNumberFormat="1" applyFont="1" applyFill="1" applyBorder="1"/>
    <xf numFmtId="5" fontId="0" fillId="0" borderId="2" xfId="14" applyNumberFormat="1" applyFont="1" applyFill="1" applyBorder="1"/>
    <xf numFmtId="44" fontId="0" fillId="14" borderId="11" xfId="1" applyFont="1" applyFill="1" applyBorder="1" applyAlignment="1">
      <alignment horizontal="center"/>
    </xf>
    <xf numFmtId="176" fontId="0" fillId="5" borderId="10" xfId="0" applyNumberFormat="1" applyFill="1" applyBorder="1" applyAlignment="1">
      <alignment horizontal="center"/>
    </xf>
    <xf numFmtId="2" fontId="11" fillId="16" borderId="10" xfId="21" applyNumberFormat="1" applyFont="1" applyFill="1" applyBorder="1" applyAlignment="1">
      <alignment horizontal="center"/>
    </xf>
    <xf numFmtId="176" fontId="0" fillId="16" borderId="10" xfId="0" applyNumberFormat="1" applyFill="1" applyBorder="1" applyAlignment="1">
      <alignment horizontal="center"/>
    </xf>
    <xf numFmtId="1" fontId="0" fillId="0" borderId="10" xfId="0" applyNumberFormat="1" applyBorder="1" applyAlignment="1">
      <alignment horizontal="center"/>
    </xf>
    <xf numFmtId="0" fontId="0" fillId="14" borderId="8" xfId="0" applyFill="1" applyBorder="1"/>
    <xf numFmtId="0" fontId="18" fillId="27" borderId="8" xfId="0" applyFont="1" applyFill="1" applyBorder="1"/>
    <xf numFmtId="44" fontId="0" fillId="9" borderId="11" xfId="1" applyFont="1" applyFill="1" applyBorder="1" applyAlignment="1">
      <alignment horizontal="center"/>
    </xf>
    <xf numFmtId="44" fontId="0" fillId="0" borderId="3" xfId="1" applyFont="1" applyFill="1" applyBorder="1" applyAlignment="1">
      <alignment horizontal="center"/>
    </xf>
    <xf numFmtId="16" fontId="19" fillId="0" borderId="5" xfId="0" applyNumberFormat="1" applyFont="1" applyBorder="1" applyAlignment="1">
      <alignment horizontal="center"/>
    </xf>
    <xf numFmtId="16" fontId="11" fillId="0" borderId="13" xfId="0" applyNumberFormat="1" applyFont="1" applyBorder="1" applyAlignment="1">
      <alignment horizontal="center"/>
    </xf>
    <xf numFmtId="179" fontId="0" fillId="0" borderId="13" xfId="1" applyNumberFormat="1" applyFont="1" applyFill="1" applyBorder="1" applyAlignment="1">
      <alignment horizontal="right"/>
    </xf>
    <xf numFmtId="179" fontId="0" fillId="0" borderId="0" xfId="1" applyNumberFormat="1" applyFont="1" applyFill="1" applyBorder="1" applyAlignment="1">
      <alignment horizontal="right"/>
    </xf>
    <xf numFmtId="164" fontId="11" fillId="0" borderId="0" xfId="0" applyNumberFormat="1" applyFont="1" applyAlignment="1">
      <alignment horizontal="center"/>
    </xf>
    <xf numFmtId="164" fontId="11" fillId="12" borderId="10" xfId="0" applyNumberFormat="1" applyFont="1" applyFill="1" applyBorder="1" applyAlignment="1">
      <alignment horizontal="center"/>
    </xf>
    <xf numFmtId="0" fontId="11" fillId="0" borderId="3" xfId="0" applyFont="1" applyBorder="1"/>
    <xf numFmtId="169" fontId="0" fillId="11" borderId="8" xfId="0" applyNumberFormat="1" applyFill="1" applyBorder="1"/>
    <xf numFmtId="0" fontId="0" fillId="0" borderId="10" xfId="0" applyBorder="1" applyAlignment="1">
      <alignment horizontal="center" vertical="center"/>
    </xf>
    <xf numFmtId="164" fontId="0" fillId="9" borderId="11" xfId="1" applyNumberFormat="1" applyFont="1" applyFill="1" applyBorder="1"/>
    <xf numFmtId="44" fontId="0" fillId="9" borderId="14" xfId="1" applyFont="1" applyFill="1" applyBorder="1" applyAlignment="1">
      <alignment horizontal="center"/>
    </xf>
    <xf numFmtId="9" fontId="0" fillId="0" borderId="13" xfId="21" applyFont="1" applyFill="1" applyBorder="1" applyAlignment="1">
      <alignment horizontal="center"/>
    </xf>
    <xf numFmtId="164" fontId="0" fillId="9" borderId="6" xfId="1" applyNumberFormat="1" applyFont="1" applyFill="1" applyBorder="1"/>
    <xf numFmtId="0" fontId="18" fillId="2" borderId="4" xfId="0" applyFont="1" applyFill="1" applyBorder="1" applyAlignment="1">
      <alignment horizontal="center"/>
    </xf>
    <xf numFmtId="0" fontId="18" fillId="0" borderId="4" xfId="0" applyFont="1" applyBorder="1" applyAlignment="1">
      <alignment horizontal="center"/>
    </xf>
    <xf numFmtId="167" fontId="20" fillId="0" borderId="6" xfId="0" applyNumberFormat="1" applyFont="1" applyBorder="1" applyAlignment="1">
      <alignment horizontal="center"/>
    </xf>
    <xf numFmtId="164" fontId="0" fillId="7" borderId="4" xfId="1" applyNumberFormat="1" applyFont="1" applyFill="1" applyBorder="1"/>
    <xf numFmtId="164" fontId="0" fillId="7" borderId="5" xfId="1" applyNumberFormat="1" applyFont="1" applyFill="1" applyBorder="1"/>
    <xf numFmtId="167" fontId="0" fillId="0" borderId="6" xfId="21" applyNumberFormat="1" applyFont="1" applyFill="1" applyBorder="1"/>
    <xf numFmtId="164" fontId="18" fillId="0" borderId="6" xfId="0" applyNumberFormat="1" applyFont="1" applyBorder="1"/>
    <xf numFmtId="164" fontId="18" fillId="0" borderId="5" xfId="0" applyNumberFormat="1" applyFont="1" applyBorder="1"/>
    <xf numFmtId="0" fontId="18" fillId="0" borderId="6" xfId="0" applyFont="1" applyBorder="1" applyAlignment="1">
      <alignment horizontal="center"/>
    </xf>
    <xf numFmtId="44" fontId="18" fillId="0" borderId="4" xfId="0" applyNumberFormat="1" applyFont="1" applyBorder="1" applyAlignment="1">
      <alignment horizontal="center"/>
    </xf>
    <xf numFmtId="44" fontId="18" fillId="7" borderId="12" xfId="0" applyNumberFormat="1" applyFont="1" applyFill="1" applyBorder="1" applyAlignment="1">
      <alignment horizontal="center"/>
    </xf>
    <xf numFmtId="178" fontId="0" fillId="16" borderId="14" xfId="1" applyNumberFormat="1" applyFont="1" applyFill="1" applyBorder="1" applyAlignment="1">
      <alignment horizontal="center"/>
    </xf>
    <xf numFmtId="0" fontId="19" fillId="16" borderId="10" xfId="0" applyFont="1" applyFill="1" applyBorder="1" applyAlignment="1">
      <alignment horizontal="center"/>
    </xf>
    <xf numFmtId="16" fontId="0" fillId="21" borderId="10" xfId="0" quotePrefix="1" applyNumberFormat="1" applyFill="1" applyBorder="1" applyAlignment="1">
      <alignment horizontal="center"/>
    </xf>
    <xf numFmtId="169" fontId="0" fillId="21" borderId="10" xfId="0" applyNumberFormat="1" applyFill="1" applyBorder="1" applyAlignment="1">
      <alignment horizontal="center"/>
    </xf>
    <xf numFmtId="0" fontId="11" fillId="16" borderId="10" xfId="0" applyFont="1" applyFill="1" applyBorder="1" applyAlignment="1">
      <alignment horizontal="left"/>
    </xf>
    <xf numFmtId="16" fontId="11" fillId="16" borderId="10" xfId="0" quotePrefix="1" applyNumberFormat="1" applyFont="1" applyFill="1" applyBorder="1" applyAlignment="1">
      <alignment horizontal="center"/>
    </xf>
    <xf numFmtId="16" fontId="0" fillId="0" borderId="12" xfId="0" quotePrefix="1" applyNumberFormat="1" applyBorder="1" applyAlignment="1">
      <alignment horizontal="left"/>
    </xf>
    <xf numFmtId="16" fontId="0" fillId="21" borderId="12" xfId="0" quotePrefix="1" applyNumberFormat="1" applyFill="1" applyBorder="1" applyAlignment="1">
      <alignment horizontal="center"/>
    </xf>
    <xf numFmtId="169" fontId="0" fillId="21" borderId="12" xfId="0" applyNumberFormat="1" applyFill="1" applyBorder="1" applyAlignment="1">
      <alignment horizontal="center"/>
    </xf>
    <xf numFmtId="175" fontId="0" fillId="0" borderId="6" xfId="0" applyNumberFormat="1" applyBorder="1" applyAlignment="1">
      <alignment horizontal="center"/>
    </xf>
    <xf numFmtId="167" fontId="0" fillId="0" borderId="12" xfId="21" applyNumberFormat="1" applyFont="1" applyFill="1" applyBorder="1" applyAlignment="1">
      <alignment horizontal="center"/>
    </xf>
    <xf numFmtId="0" fontId="11" fillId="0" borderId="92" xfId="0" applyFont="1" applyBorder="1" applyAlignment="1">
      <alignment horizontal="center"/>
    </xf>
    <xf numFmtId="0" fontId="11" fillId="0" borderId="73" xfId="0" applyFont="1" applyBorder="1" applyAlignment="1">
      <alignment horizontal="left"/>
    </xf>
    <xf numFmtId="169" fontId="0" fillId="0" borderId="93" xfId="0" applyNumberFormat="1" applyBorder="1" applyAlignment="1">
      <alignment horizontal="center"/>
    </xf>
    <xf numFmtId="167" fontId="0" fillId="0" borderId="93" xfId="21" applyNumberFormat="1" applyFont="1" applyFill="1" applyBorder="1" applyAlignment="1">
      <alignment horizontal="center"/>
    </xf>
    <xf numFmtId="175" fontId="0" fillId="0" borderId="93" xfId="0" applyNumberFormat="1" applyBorder="1" applyAlignment="1">
      <alignment horizontal="center"/>
    </xf>
    <xf numFmtId="16" fontId="0" fillId="16" borderId="12" xfId="0" quotePrefix="1" applyNumberFormat="1" applyFill="1" applyBorder="1" applyAlignment="1">
      <alignment horizontal="left"/>
    </xf>
    <xf numFmtId="16" fontId="0" fillId="16" borderId="12" xfId="0" quotePrefix="1" applyNumberFormat="1" applyFill="1" applyBorder="1" applyAlignment="1">
      <alignment horizontal="center"/>
    </xf>
    <xf numFmtId="169" fontId="0" fillId="16" borderId="12" xfId="0" applyNumberFormat="1" applyFill="1" applyBorder="1" applyAlignment="1">
      <alignment horizontal="center"/>
    </xf>
    <xf numFmtId="175" fontId="0" fillId="16" borderId="12" xfId="0" applyNumberFormat="1" applyFill="1" applyBorder="1" applyAlignment="1">
      <alignment horizontal="center"/>
    </xf>
    <xf numFmtId="167" fontId="0" fillId="16" borderId="12" xfId="21" applyNumberFormat="1" applyFont="1" applyFill="1" applyBorder="1" applyAlignment="1">
      <alignment horizontal="center"/>
    </xf>
    <xf numFmtId="0" fontId="0" fillId="0" borderId="92" xfId="0" applyBorder="1"/>
    <xf numFmtId="16" fontId="35" fillId="0" borderId="9" xfId="0" applyNumberFormat="1" applyFont="1" applyBorder="1" applyAlignment="1">
      <alignment horizontal="center" vertical="center" wrapText="1"/>
    </xf>
    <xf numFmtId="16" fontId="35" fillId="0" borderId="6" xfId="0" applyNumberFormat="1" applyFont="1" applyBorder="1" applyAlignment="1">
      <alignment horizontal="center" vertical="center" wrapText="1"/>
    </xf>
    <xf numFmtId="10" fontId="35" fillId="0" borderId="12" xfId="0" applyNumberFormat="1" applyFont="1" applyBorder="1" applyAlignment="1">
      <alignment horizontal="center" vertical="center" wrapText="1"/>
    </xf>
    <xf numFmtId="0" fontId="0" fillId="0" borderId="92" xfId="0" applyBorder="1" applyAlignment="1">
      <alignment horizontal="center"/>
    </xf>
    <xf numFmtId="16" fontId="35" fillId="0" borderId="50" xfId="0" applyNumberFormat="1" applyFont="1" applyBorder="1" applyAlignment="1">
      <alignment horizontal="center" vertical="center" wrapText="1"/>
    </xf>
    <xf numFmtId="10" fontId="35" fillId="0" borderId="58" xfId="0" applyNumberFormat="1" applyFont="1" applyBorder="1" applyAlignment="1">
      <alignment horizontal="center" vertical="center" wrapText="1"/>
    </xf>
    <xf numFmtId="16" fontId="35" fillId="0" borderId="95" xfId="0" applyNumberFormat="1" applyFont="1" applyBorder="1" applyAlignment="1">
      <alignment horizontal="center" vertical="center" wrapText="1"/>
    </xf>
    <xf numFmtId="10" fontId="35" fillId="0" borderId="92" xfId="0" applyNumberFormat="1" applyFont="1" applyBorder="1" applyAlignment="1">
      <alignment horizontal="center" vertical="center" wrapText="1"/>
    </xf>
    <xf numFmtId="0" fontId="34" fillId="4" borderId="60" xfId="0" applyFont="1" applyFill="1" applyBorder="1" applyAlignment="1">
      <alignment horizontal="center" vertical="center" wrapText="1"/>
    </xf>
    <xf numFmtId="0" fontId="34" fillId="4" borderId="46" xfId="0" applyFont="1" applyFill="1" applyBorder="1" applyAlignment="1">
      <alignment horizontal="center" vertical="center" wrapText="1"/>
    </xf>
    <xf numFmtId="0" fontId="34" fillId="0" borderId="0" xfId="0" applyFont="1" applyAlignment="1">
      <alignment horizontal="center" vertical="center" wrapText="1"/>
    </xf>
    <xf numFmtId="0" fontId="34" fillId="4" borderId="10" xfId="0" applyFont="1" applyFill="1" applyBorder="1" applyAlignment="1">
      <alignment horizontal="center" vertical="center" wrapText="1"/>
    </xf>
    <xf numFmtId="1" fontId="35" fillId="0" borderId="0" xfId="0" quotePrefix="1" applyNumberFormat="1" applyFont="1" applyAlignment="1">
      <alignment horizontal="center" vertical="center" wrapText="1"/>
    </xf>
    <xf numFmtId="0" fontId="11" fillId="5" borderId="4" xfId="0" applyFont="1" applyFill="1" applyBorder="1" applyAlignment="1">
      <alignment horizontal="center"/>
    </xf>
    <xf numFmtId="169" fontId="0" fillId="5" borderId="4" xfId="0" applyNumberFormat="1" applyFill="1" applyBorder="1" applyAlignment="1">
      <alignment horizontal="center"/>
    </xf>
    <xf numFmtId="169" fontId="0" fillId="5" borderId="7" xfId="0" applyNumberFormat="1" applyFill="1" applyBorder="1" applyAlignment="1">
      <alignment horizontal="center"/>
    </xf>
    <xf numFmtId="169" fontId="0" fillId="5" borderId="1" xfId="0" applyNumberFormat="1" applyFill="1" applyBorder="1" applyAlignment="1">
      <alignment horizontal="center"/>
    </xf>
    <xf numFmtId="0" fontId="11" fillId="5" borderId="14" xfId="0" applyFont="1" applyFill="1" applyBorder="1" applyAlignment="1">
      <alignment horizontal="center"/>
    </xf>
    <xf numFmtId="9" fontId="0" fillId="5" borderId="11" xfId="21" applyFont="1" applyFill="1" applyBorder="1" applyAlignment="1">
      <alignment horizontal="center"/>
    </xf>
    <xf numFmtId="9" fontId="11" fillId="5" borderId="10" xfId="21" applyFont="1" applyFill="1" applyBorder="1" applyAlignment="1">
      <alignment horizontal="center"/>
    </xf>
    <xf numFmtId="0" fontId="0" fillId="5" borderId="13" xfId="0" applyFill="1" applyBorder="1"/>
    <xf numFmtId="169" fontId="11" fillId="5" borderId="11" xfId="0" applyNumberFormat="1" applyFont="1" applyFill="1" applyBorder="1" applyAlignment="1">
      <alignment horizontal="center"/>
    </xf>
    <xf numFmtId="167" fontId="11" fillId="5" borderId="9" xfId="21" applyNumberFormat="1" applyFont="1" applyFill="1" applyBorder="1" applyAlignment="1">
      <alignment horizontal="center"/>
    </xf>
    <xf numFmtId="175" fontId="0" fillId="5" borderId="36" xfId="0" applyNumberFormat="1" applyFill="1" applyBorder="1" applyAlignment="1">
      <alignment horizontal="center"/>
    </xf>
    <xf numFmtId="175" fontId="0" fillId="5" borderId="42" xfId="0" applyNumberFormat="1" applyFill="1" applyBorder="1" applyAlignment="1">
      <alignment horizontal="center"/>
    </xf>
    <xf numFmtId="167" fontId="0" fillId="5" borderId="11" xfId="21" applyNumberFormat="1" applyFont="1" applyFill="1" applyBorder="1" applyAlignment="1">
      <alignment horizontal="center"/>
    </xf>
    <xf numFmtId="0" fontId="29" fillId="5" borderId="13" xfId="0" applyFont="1" applyFill="1" applyBorder="1" applyAlignment="1">
      <alignment horizontal="center"/>
    </xf>
    <xf numFmtId="0" fontId="29" fillId="5" borderId="14" xfId="0" applyFont="1" applyFill="1" applyBorder="1" applyAlignment="1">
      <alignment horizontal="center"/>
    </xf>
    <xf numFmtId="0" fontId="29" fillId="5" borderId="6" xfId="0" applyFont="1" applyFill="1" applyBorder="1" applyAlignment="1">
      <alignment horizontal="center"/>
    </xf>
    <xf numFmtId="0" fontId="29" fillId="11" borderId="11" xfId="0" applyFont="1" applyFill="1" applyBorder="1" applyAlignment="1">
      <alignment horizontal="center"/>
    </xf>
    <xf numFmtId="0" fontId="29" fillId="11" borderId="12" xfId="0" applyFont="1" applyFill="1" applyBorder="1" applyAlignment="1">
      <alignment horizontal="center"/>
    </xf>
    <xf numFmtId="0" fontId="30" fillId="0" borderId="10" xfId="0" applyFont="1" applyBorder="1" applyAlignment="1">
      <alignment horizontal="center"/>
    </xf>
    <xf numFmtId="0" fontId="0" fillId="5" borderId="11" xfId="0" applyFill="1" applyBorder="1"/>
    <xf numFmtId="170" fontId="0" fillId="5" borderId="13" xfId="0" applyNumberFormat="1" applyFill="1" applyBorder="1"/>
    <xf numFmtId="169" fontId="0" fillId="5" borderId="13" xfId="0" applyNumberFormat="1" applyFill="1" applyBorder="1"/>
    <xf numFmtId="170" fontId="0" fillId="5" borderId="10" xfId="0" applyNumberFormat="1" applyFill="1" applyBorder="1"/>
    <xf numFmtId="170" fontId="0" fillId="5" borderId="11" xfId="0" applyNumberFormat="1" applyFill="1" applyBorder="1"/>
    <xf numFmtId="169" fontId="0" fillId="5" borderId="11" xfId="0" applyNumberFormat="1" applyFill="1" applyBorder="1"/>
    <xf numFmtId="0" fontId="0" fillId="16" borderId="11" xfId="0" applyFill="1" applyBorder="1"/>
    <xf numFmtId="170" fontId="0" fillId="16" borderId="13" xfId="0" applyNumberFormat="1" applyFill="1" applyBorder="1"/>
    <xf numFmtId="169" fontId="0" fillId="16" borderId="13" xfId="0" applyNumberFormat="1" applyFill="1" applyBorder="1"/>
    <xf numFmtId="170" fontId="0" fillId="16" borderId="10" xfId="0" applyNumberFormat="1" applyFill="1" applyBorder="1"/>
    <xf numFmtId="170" fontId="0" fillId="16" borderId="11" xfId="0" applyNumberFormat="1" applyFill="1" applyBorder="1"/>
    <xf numFmtId="169" fontId="0" fillId="16" borderId="11" xfId="0" applyNumberFormat="1" applyFill="1" applyBorder="1"/>
    <xf numFmtId="170" fontId="11" fillId="16" borderId="10" xfId="0" applyNumberFormat="1" applyFont="1" applyFill="1" applyBorder="1"/>
    <xf numFmtId="0" fontId="11" fillId="11" borderId="13" xfId="0" applyFont="1" applyFill="1" applyBorder="1" applyAlignment="1">
      <alignment horizontal="center"/>
    </xf>
    <xf numFmtId="169" fontId="0" fillId="11" borderId="13" xfId="0" applyNumberFormat="1" applyFill="1" applyBorder="1"/>
    <xf numFmtId="169" fontId="0" fillId="11" borderId="11" xfId="0" applyNumberFormat="1" applyFill="1" applyBorder="1"/>
    <xf numFmtId="169" fontId="0" fillId="11" borderId="12" xfId="0" applyNumberFormat="1" applyFill="1" applyBorder="1"/>
    <xf numFmtId="167" fontId="0" fillId="0" borderId="14" xfId="21" applyNumberFormat="1" applyFont="1" applyBorder="1" applyAlignment="1">
      <alignment horizontal="center"/>
    </xf>
    <xf numFmtId="9" fontId="0" fillId="0" borderId="7" xfId="21" applyFont="1" applyBorder="1" applyAlignment="1">
      <alignment horizontal="center"/>
    </xf>
    <xf numFmtId="167" fontId="0" fillId="0" borderId="1" xfId="21" applyNumberFormat="1" applyFont="1" applyBorder="1" applyAlignment="1">
      <alignment horizontal="center"/>
    </xf>
    <xf numFmtId="16" fontId="0" fillId="0" borderId="0" xfId="0" quotePrefix="1" applyNumberFormat="1"/>
    <xf numFmtId="0" fontId="19" fillId="16" borderId="3" xfId="0" applyFont="1" applyFill="1" applyBorder="1" applyAlignment="1">
      <alignment horizontal="center"/>
    </xf>
    <xf numFmtId="0" fontId="19" fillId="16" borderId="15" xfId="0" applyFont="1" applyFill="1" applyBorder="1" applyAlignment="1">
      <alignment horizontal="center"/>
    </xf>
    <xf numFmtId="175" fontId="19" fillId="16" borderId="9" xfId="0" applyNumberFormat="1" applyFont="1" applyFill="1" applyBorder="1" applyAlignment="1">
      <alignment horizontal="center"/>
    </xf>
    <xf numFmtId="167" fontId="0" fillId="16" borderId="9" xfId="21" applyNumberFormat="1" applyFont="1" applyFill="1" applyBorder="1"/>
    <xf numFmtId="0" fontId="18" fillId="16" borderId="9" xfId="0" applyFont="1" applyFill="1" applyBorder="1" applyAlignment="1">
      <alignment horizontal="center"/>
    </xf>
    <xf numFmtId="167" fontId="11" fillId="4" borderId="9" xfId="21" applyNumberFormat="1" applyFont="1" applyFill="1" applyBorder="1"/>
    <xf numFmtId="0" fontId="0" fillId="11" borderId="7" xfId="0" applyFill="1" applyBorder="1"/>
    <xf numFmtId="167" fontId="1" fillId="0" borderId="7" xfId="21" applyNumberFormat="1" applyFont="1" applyBorder="1" applyAlignment="1">
      <alignment horizontal="center"/>
    </xf>
    <xf numFmtId="0" fontId="37" fillId="0" borderId="12" xfId="0" applyFont="1" applyBorder="1" applyAlignment="1">
      <alignment horizontal="center"/>
    </xf>
    <xf numFmtId="6" fontId="36" fillId="0" borderId="12" xfId="0" applyNumberFormat="1" applyFont="1" applyBorder="1" applyAlignment="1">
      <alignment horizontal="center"/>
    </xf>
    <xf numFmtId="6" fontId="36" fillId="0" borderId="10" xfId="0" applyNumberFormat="1" applyFont="1" applyBorder="1" applyAlignment="1">
      <alignment horizontal="center"/>
    </xf>
    <xf numFmtId="3" fontId="11" fillId="5" borderId="10" xfId="0" applyNumberFormat="1" applyFont="1" applyFill="1" applyBorder="1"/>
    <xf numFmtId="6" fontId="11" fillId="5" borderId="10" xfId="0" applyNumberFormat="1" applyFont="1" applyFill="1" applyBorder="1" applyAlignment="1">
      <alignment horizontal="center"/>
    </xf>
    <xf numFmtId="3" fontId="0" fillId="16" borderId="9" xfId="0" applyNumberFormat="1" applyFill="1" applyBorder="1"/>
    <xf numFmtId="16" fontId="29" fillId="0" borderId="0" xfId="0" quotePrefix="1" applyNumberFormat="1" applyFont="1" applyAlignment="1">
      <alignment horizontal="center"/>
    </xf>
    <xf numFmtId="0" fontId="29" fillId="5" borderId="1" xfId="0" applyFont="1" applyFill="1" applyBorder="1" applyAlignment="1">
      <alignment horizontal="center"/>
    </xf>
    <xf numFmtId="0" fontId="29" fillId="5" borderId="4" xfId="0" quotePrefix="1" applyFont="1" applyFill="1" applyBorder="1" applyAlignment="1">
      <alignment horizontal="center"/>
    </xf>
    <xf numFmtId="0" fontId="29" fillId="11" borderId="13" xfId="0" applyFont="1" applyFill="1" applyBorder="1" applyAlignment="1">
      <alignment horizontal="center"/>
    </xf>
    <xf numFmtId="16" fontId="29" fillId="11" borderId="12" xfId="0" quotePrefix="1" applyNumberFormat="1" applyFont="1" applyFill="1" applyBorder="1" applyAlignment="1">
      <alignment horizontal="center"/>
    </xf>
    <xf numFmtId="3" fontId="11" fillId="11" borderId="10" xfId="0" applyNumberFormat="1" applyFont="1" applyFill="1" applyBorder="1"/>
    <xf numFmtId="182" fontId="0" fillId="0" borderId="10" xfId="0" applyNumberFormat="1" applyBorder="1"/>
    <xf numFmtId="182" fontId="11" fillId="11" borderId="10" xfId="0" applyNumberFormat="1" applyFont="1" applyFill="1" applyBorder="1"/>
    <xf numFmtId="0" fontId="0" fillId="28" borderId="2" xfId="0" applyFill="1" applyBorder="1"/>
    <xf numFmtId="0" fontId="0" fillId="28" borderId="42" xfId="0" applyFill="1" applyBorder="1"/>
    <xf numFmtId="0" fontId="0" fillId="28" borderId="0" xfId="0" applyFill="1"/>
    <xf numFmtId="0" fontId="0" fillId="28" borderId="8" xfId="0" applyFill="1" applyBorder="1"/>
    <xf numFmtId="170" fontId="11" fillId="0" borderId="0" xfId="0" applyNumberFormat="1" applyFont="1"/>
    <xf numFmtId="167" fontId="0" fillId="16" borderId="12" xfId="21" applyNumberFormat="1" applyFont="1" applyFill="1" applyBorder="1"/>
    <xf numFmtId="167" fontId="0" fillId="4" borderId="12" xfId="21" applyNumberFormat="1" applyFont="1" applyFill="1" applyBorder="1"/>
    <xf numFmtId="0" fontId="0" fillId="7" borderId="11" xfId="0" applyFill="1" applyBorder="1"/>
    <xf numFmtId="0" fontId="0" fillId="0" borderId="87" xfId="0" applyBorder="1"/>
    <xf numFmtId="0" fontId="11" fillId="0" borderId="7" xfId="0" quotePrefix="1" applyFont="1" applyBorder="1" applyAlignment="1">
      <alignment horizontal="left"/>
    </xf>
    <xf numFmtId="182" fontId="0" fillId="0" borderId="0" xfId="0" applyNumberFormat="1"/>
    <xf numFmtId="0" fontId="0" fillId="5" borderId="1" xfId="0" applyFill="1" applyBorder="1"/>
    <xf numFmtId="0" fontId="0" fillId="5" borderId="2" xfId="0" applyFill="1" applyBorder="1" applyAlignment="1">
      <alignment horizontal="center"/>
    </xf>
    <xf numFmtId="182" fontId="0" fillId="5" borderId="10" xfId="0" applyNumberFormat="1" applyFill="1" applyBorder="1"/>
    <xf numFmtId="0" fontId="11" fillId="11" borderId="4" xfId="0" applyFont="1" applyFill="1" applyBorder="1"/>
    <xf numFmtId="0" fontId="11" fillId="11" borderId="5" xfId="0" applyFont="1" applyFill="1" applyBorder="1" applyAlignment="1">
      <alignment horizontal="center"/>
    </xf>
    <xf numFmtId="0" fontId="11" fillId="11" borderId="5" xfId="0" applyFont="1" applyFill="1" applyBorder="1"/>
    <xf numFmtId="182" fontId="11" fillId="16" borderId="10" xfId="0" applyNumberFormat="1" applyFont="1" applyFill="1" applyBorder="1"/>
    <xf numFmtId="0" fontId="0" fillId="4" borderId="8" xfId="0" applyFill="1" applyBorder="1" applyAlignment="1">
      <alignment horizontal="center"/>
    </xf>
    <xf numFmtId="169" fontId="11" fillId="4" borderId="11" xfId="0" applyNumberFormat="1" applyFont="1" applyFill="1" applyBorder="1"/>
    <xf numFmtId="0" fontId="11" fillId="4" borderId="1" xfId="0" applyFont="1" applyFill="1" applyBorder="1" applyAlignment="1">
      <alignment horizontal="center"/>
    </xf>
    <xf numFmtId="0" fontId="11" fillId="4" borderId="12" xfId="0" applyFont="1" applyFill="1" applyBorder="1" applyAlignment="1">
      <alignment horizontal="center"/>
    </xf>
    <xf numFmtId="169" fontId="0" fillId="4" borderId="11" xfId="0" applyNumberFormat="1" applyFill="1" applyBorder="1" applyAlignment="1">
      <alignment horizontal="center"/>
    </xf>
    <xf numFmtId="4" fontId="11" fillId="5" borderId="10" xfId="0" applyNumberFormat="1" applyFont="1" applyFill="1" applyBorder="1"/>
    <xf numFmtId="175" fontId="11" fillId="5" borderId="10" xfId="0" applyNumberFormat="1" applyFont="1" applyFill="1" applyBorder="1" applyAlignment="1">
      <alignment horizontal="right"/>
    </xf>
    <xf numFmtId="169" fontId="0" fillId="0" borderId="13" xfId="0" applyNumberFormat="1" applyBorder="1" applyAlignment="1">
      <alignment horizontal="center"/>
    </xf>
    <xf numFmtId="176" fontId="0" fillId="0" borderId="13" xfId="0" applyNumberFormat="1" applyBorder="1" applyAlignment="1">
      <alignment horizontal="center"/>
    </xf>
    <xf numFmtId="0" fontId="45" fillId="0" borderId="13" xfId="0" applyFont="1" applyBorder="1" applyAlignment="1">
      <alignment horizontal="center"/>
    </xf>
    <xf numFmtId="1" fontId="0" fillId="0" borderId="7" xfId="0" applyNumberFormat="1" applyBorder="1" applyAlignment="1">
      <alignment horizontal="left"/>
    </xf>
    <xf numFmtId="173" fontId="0" fillId="0" borderId="9" xfId="0" applyNumberFormat="1" applyBorder="1"/>
    <xf numFmtId="3" fontId="11" fillId="0" borderId="9" xfId="0" applyNumberFormat="1" applyFont="1" applyBorder="1"/>
    <xf numFmtId="173" fontId="11" fillId="0" borderId="10" xfId="0" applyNumberFormat="1" applyFont="1" applyBorder="1" applyAlignment="1">
      <alignment horizontal="center"/>
    </xf>
    <xf numFmtId="177" fontId="11" fillId="0" borderId="10" xfId="0" applyNumberFormat="1" applyFont="1" applyBorder="1" applyAlignment="1">
      <alignment horizontal="center"/>
    </xf>
    <xf numFmtId="167" fontId="11" fillId="16" borderId="9" xfId="21" applyNumberFormat="1" applyFont="1" applyFill="1" applyBorder="1" applyAlignment="1">
      <alignment horizontal="center"/>
    </xf>
    <xf numFmtId="167" fontId="11" fillId="0" borderId="0" xfId="21" applyNumberFormat="1" applyFont="1" applyBorder="1" applyAlignment="1">
      <alignment horizontal="center"/>
    </xf>
    <xf numFmtId="15" fontId="11" fillId="0" borderId="0" xfId="0" applyNumberFormat="1" applyFont="1" applyAlignment="1">
      <alignment horizontal="left"/>
    </xf>
    <xf numFmtId="167" fontId="11" fillId="11" borderId="9" xfId="21" applyNumberFormat="1" applyFont="1" applyFill="1" applyBorder="1" applyAlignment="1">
      <alignment horizontal="center"/>
    </xf>
    <xf numFmtId="177" fontId="11" fillId="16" borderId="10" xfId="0" applyNumberFormat="1" applyFont="1" applyFill="1" applyBorder="1" applyAlignment="1">
      <alignment horizontal="center"/>
    </xf>
    <xf numFmtId="167" fontId="11" fillId="0" borderId="0" xfId="21" applyNumberFormat="1" applyFont="1" applyFill="1" applyBorder="1" applyAlignment="1">
      <alignment horizontal="center"/>
    </xf>
    <xf numFmtId="16" fontId="11" fillId="0" borderId="14" xfId="0" applyNumberFormat="1" applyFont="1" applyBorder="1" applyAlignment="1">
      <alignment horizontal="center"/>
    </xf>
    <xf numFmtId="44" fontId="0" fillId="4" borderId="3" xfId="1" applyFont="1" applyFill="1" applyBorder="1" applyAlignment="1">
      <alignment horizontal="center"/>
    </xf>
    <xf numFmtId="44" fontId="0" fillId="4" borderId="15" xfId="1" applyFont="1" applyFill="1" applyBorder="1" applyAlignment="1">
      <alignment horizontal="center"/>
    </xf>
    <xf numFmtId="44" fontId="18" fillId="4" borderId="15" xfId="0" applyNumberFormat="1" applyFont="1" applyFill="1" applyBorder="1" applyAlignment="1">
      <alignment horizontal="center"/>
    </xf>
    <xf numFmtId="44" fontId="18" fillId="4" borderId="6" xfId="0" applyNumberFormat="1" applyFont="1" applyFill="1" applyBorder="1" applyAlignment="1">
      <alignment horizontal="center"/>
    </xf>
    <xf numFmtId="164" fontId="11" fillId="12" borderId="9" xfId="0" applyNumberFormat="1" applyFont="1" applyFill="1" applyBorder="1" applyAlignment="1">
      <alignment horizontal="center"/>
    </xf>
    <xf numFmtId="164" fontId="18" fillId="0" borderId="14" xfId="0" applyNumberFormat="1" applyFont="1" applyBorder="1"/>
    <xf numFmtId="0" fontId="11" fillId="12" borderId="10" xfId="0" applyFont="1" applyFill="1" applyBorder="1" applyAlignment="1">
      <alignment horizontal="center"/>
    </xf>
    <xf numFmtId="176" fontId="1" fillId="0" borderId="10" xfId="0" applyNumberFormat="1" applyFont="1" applyBorder="1"/>
    <xf numFmtId="169" fontId="0" fillId="0" borderId="10" xfId="21" applyNumberFormat="1" applyFont="1" applyFill="1" applyBorder="1"/>
    <xf numFmtId="169" fontId="11" fillId="16" borderId="10" xfId="21" applyNumberFormat="1" applyFont="1" applyFill="1" applyBorder="1" applyAlignment="1">
      <alignment horizontal="right"/>
    </xf>
    <xf numFmtId="167" fontId="11" fillId="11" borderId="9" xfId="21" applyNumberFormat="1" applyFont="1" applyFill="1" applyBorder="1"/>
    <xf numFmtId="175" fontId="0" fillId="5" borderId="55" xfId="0" applyNumberFormat="1" applyFill="1" applyBorder="1"/>
    <xf numFmtId="169" fontId="0" fillId="5" borderId="57" xfId="0" applyNumberFormat="1" applyFill="1" applyBorder="1"/>
    <xf numFmtId="169" fontId="0" fillId="5" borderId="84" xfId="0" applyNumberFormat="1" applyFill="1" applyBorder="1"/>
    <xf numFmtId="175" fontId="0" fillId="5" borderId="89" xfId="0" applyNumberFormat="1" applyFill="1" applyBorder="1"/>
    <xf numFmtId="175" fontId="0" fillId="16" borderId="12" xfId="0" applyNumberFormat="1" applyFill="1" applyBorder="1"/>
    <xf numFmtId="0" fontId="11" fillId="5" borderId="10" xfId="0" applyFont="1" applyFill="1" applyBorder="1" applyAlignment="1">
      <alignment horizontal="left"/>
    </xf>
    <xf numFmtId="167" fontId="0" fillId="5" borderId="10" xfId="0" applyNumberFormat="1" applyFill="1" applyBorder="1"/>
    <xf numFmtId="16" fontId="0" fillId="0" borderId="8" xfId="0" applyNumberFormat="1" applyBorder="1" applyAlignment="1">
      <alignment horizontal="center"/>
    </xf>
    <xf numFmtId="16" fontId="0" fillId="0" borderId="5" xfId="0" applyNumberFormat="1" applyBorder="1" applyAlignment="1">
      <alignment horizontal="center"/>
    </xf>
    <xf numFmtId="16" fontId="0" fillId="0" borderId="2" xfId="0" applyNumberFormat="1" applyBorder="1" applyAlignment="1">
      <alignment horizontal="center"/>
    </xf>
    <xf numFmtId="0" fontId="34" fillId="0" borderId="46" xfId="0" applyFont="1" applyBorder="1" applyAlignment="1">
      <alignment horizontal="center" vertical="center" wrapText="1"/>
    </xf>
    <xf numFmtId="0" fontId="34" fillId="0" borderId="60" xfId="0" applyFont="1" applyBorder="1" applyAlignment="1">
      <alignment horizontal="center" vertical="center" wrapText="1"/>
    </xf>
    <xf numFmtId="16" fontId="35" fillId="0" borderId="94" xfId="0" applyNumberFormat="1" applyFont="1" applyBorder="1" applyAlignment="1">
      <alignment horizontal="center" vertical="center" wrapText="1"/>
    </xf>
    <xf numFmtId="10" fontId="35" fillId="0" borderId="73" xfId="0" applyNumberFormat="1" applyFont="1" applyBorder="1" applyAlignment="1">
      <alignment horizontal="center" vertical="center" wrapText="1"/>
    </xf>
    <xf numFmtId="0" fontId="0" fillId="0" borderId="9" xfId="0" applyBorder="1" applyAlignment="1">
      <alignment horizontal="right"/>
    </xf>
    <xf numFmtId="0" fontId="0" fillId="0" borderId="73" xfId="0" applyBorder="1" applyAlignment="1">
      <alignment horizontal="center"/>
    </xf>
    <xf numFmtId="10" fontId="0" fillId="0" borderId="10" xfId="0" applyNumberFormat="1" applyBorder="1" applyAlignment="1">
      <alignment horizontal="center"/>
    </xf>
    <xf numFmtId="164" fontId="0" fillId="0" borderId="10" xfId="1" quotePrefix="1" applyNumberFormat="1" applyFont="1" applyFill="1" applyBorder="1"/>
    <xf numFmtId="0" fontId="11" fillId="0" borderId="11" xfId="0" applyFont="1" applyBorder="1" applyAlignment="1">
      <alignment horizontal="left"/>
    </xf>
    <xf numFmtId="170" fontId="0" fillId="0" borderId="12" xfId="21" applyNumberFormat="1" applyFont="1" applyBorder="1"/>
    <xf numFmtId="170" fontId="0" fillId="0" borderId="7" xfId="21" applyNumberFormat="1" applyFont="1" applyBorder="1"/>
    <xf numFmtId="0" fontId="0" fillId="11" borderId="7" xfId="0" applyFill="1" applyBorder="1" applyAlignment="1">
      <alignment horizontal="center"/>
    </xf>
    <xf numFmtId="175" fontId="0" fillId="11" borderId="53" xfId="0" applyNumberFormat="1" applyFill="1" applyBorder="1"/>
    <xf numFmtId="166" fontId="0" fillId="11" borderId="53" xfId="0" applyNumberFormat="1" applyFill="1" applyBorder="1"/>
    <xf numFmtId="166" fontId="0" fillId="11" borderId="51" xfId="0" applyNumberFormat="1" applyFill="1" applyBorder="1"/>
    <xf numFmtId="16" fontId="0" fillId="0" borderId="0" xfId="0" quotePrefix="1" applyNumberFormat="1" applyAlignment="1">
      <alignment horizontal="center"/>
    </xf>
    <xf numFmtId="0" fontId="19" fillId="11" borderId="11" xfId="0" applyFont="1" applyFill="1" applyBorder="1" applyAlignment="1">
      <alignment horizontal="center"/>
    </xf>
    <xf numFmtId="169" fontId="18" fillId="11" borderId="11" xfId="0" applyNumberFormat="1" applyFont="1" applyFill="1" applyBorder="1"/>
    <xf numFmtId="169" fontId="18" fillId="11" borderId="13" xfId="0" applyNumberFormat="1" applyFont="1" applyFill="1" applyBorder="1"/>
    <xf numFmtId="169" fontId="0" fillId="16" borderId="0" xfId="0" applyNumberFormat="1" applyFill="1" applyAlignment="1">
      <alignment horizontal="center"/>
    </xf>
    <xf numFmtId="169" fontId="0" fillId="4" borderId="12" xfId="0" applyNumberFormat="1" applyFill="1" applyBorder="1" applyAlignment="1">
      <alignment horizontal="center"/>
    </xf>
    <xf numFmtId="169" fontId="0" fillId="11" borderId="14" xfId="0" applyNumberFormat="1" applyFill="1" applyBorder="1"/>
    <xf numFmtId="166" fontId="0" fillId="11" borderId="12" xfId="0" applyNumberFormat="1" applyFill="1" applyBorder="1" applyAlignment="1">
      <alignment horizontal="center"/>
    </xf>
    <xf numFmtId="0" fontId="29" fillId="19" borderId="11" xfId="0" applyFont="1" applyFill="1" applyBorder="1" applyAlignment="1">
      <alignment horizontal="center"/>
    </xf>
    <xf numFmtId="0" fontId="29" fillId="19" borderId="12" xfId="0" applyFont="1" applyFill="1" applyBorder="1" applyAlignment="1">
      <alignment horizontal="center"/>
    </xf>
    <xf numFmtId="169" fontId="0" fillId="19" borderId="10" xfId="0" applyNumberFormat="1" applyFill="1" applyBorder="1"/>
    <xf numFmtId="167" fontId="1" fillId="19" borderId="10" xfId="21" applyNumberFormat="1" applyFont="1" applyFill="1" applyBorder="1"/>
    <xf numFmtId="175" fontId="0" fillId="4" borderId="10" xfId="0" applyNumberFormat="1" applyFill="1" applyBorder="1" applyAlignment="1">
      <alignment horizontal="right"/>
    </xf>
    <xf numFmtId="0" fontId="11" fillId="21" borderId="11" xfId="0" applyFont="1" applyFill="1" applyBorder="1" applyAlignment="1">
      <alignment horizontal="center"/>
    </xf>
    <xf numFmtId="0" fontId="11" fillId="21" borderId="12" xfId="0" applyFont="1" applyFill="1" applyBorder="1" applyAlignment="1">
      <alignment horizontal="center"/>
    </xf>
    <xf numFmtId="175" fontId="0" fillId="21" borderId="10" xfId="0" applyNumberFormat="1" applyFill="1" applyBorder="1"/>
    <xf numFmtId="175" fontId="11" fillId="21" borderId="10" xfId="0" applyNumberFormat="1" applyFont="1" applyFill="1" applyBorder="1"/>
    <xf numFmtId="169" fontId="0" fillId="21" borderId="12" xfId="0" applyNumberFormat="1" applyFill="1" applyBorder="1"/>
    <xf numFmtId="0" fontId="0" fillId="21" borderId="0" xfId="0" applyFill="1"/>
    <xf numFmtId="175" fontId="11" fillId="0" borderId="0" xfId="0" applyNumberFormat="1" applyFont="1"/>
    <xf numFmtId="169" fontId="11" fillId="0" borderId="12" xfId="0" applyNumberFormat="1" applyFont="1" applyBorder="1"/>
    <xf numFmtId="169" fontId="11" fillId="11" borderId="12" xfId="0" applyNumberFormat="1" applyFont="1" applyFill="1" applyBorder="1"/>
    <xf numFmtId="175" fontId="0" fillId="0" borderId="6" xfId="0" applyNumberFormat="1" applyBorder="1"/>
    <xf numFmtId="175" fontId="0" fillId="0" borderId="9" xfId="0" applyNumberFormat="1" applyBorder="1"/>
    <xf numFmtId="175" fontId="11" fillId="0" borderId="9" xfId="0" applyNumberFormat="1" applyFont="1" applyBorder="1"/>
    <xf numFmtId="169" fontId="0" fillId="4" borderId="9" xfId="0" applyNumberFormat="1" applyFill="1" applyBorder="1"/>
    <xf numFmtId="167" fontId="0" fillId="16" borderId="0" xfId="0" applyNumberFormat="1" applyFill="1"/>
    <xf numFmtId="0" fontId="0" fillId="4" borderId="14" xfId="0" applyFill="1" applyBorder="1"/>
    <xf numFmtId="0" fontId="18" fillId="11" borderId="12" xfId="0" applyFont="1" applyFill="1" applyBorder="1" applyAlignment="1">
      <alignment horizontal="center"/>
    </xf>
    <xf numFmtId="176" fontId="0" fillId="11" borderId="12" xfId="0" applyNumberFormat="1" applyFill="1" applyBorder="1" applyAlignment="1">
      <alignment horizontal="center"/>
    </xf>
    <xf numFmtId="167" fontId="18" fillId="11" borderId="3" xfId="0" applyNumberFormat="1" applyFont="1" applyFill="1" applyBorder="1"/>
    <xf numFmtId="169" fontId="0" fillId="11" borderId="10" xfId="21" applyNumberFormat="1" applyFont="1" applyFill="1" applyBorder="1" applyAlignment="1">
      <alignment horizontal="right"/>
    </xf>
    <xf numFmtId="169" fontId="11" fillId="0" borderId="13" xfId="0" applyNumberFormat="1" applyFont="1" applyBorder="1"/>
    <xf numFmtId="167" fontId="18" fillId="0" borderId="15" xfId="0" applyNumberFormat="1" applyFont="1" applyBorder="1"/>
    <xf numFmtId="169" fontId="0" fillId="0" borderId="13" xfId="21" applyNumberFormat="1" applyFont="1" applyFill="1" applyBorder="1" applyAlignment="1">
      <alignment horizontal="right"/>
    </xf>
    <xf numFmtId="169" fontId="11" fillId="11" borderId="12" xfId="0" applyNumberFormat="1" applyFont="1" applyFill="1" applyBorder="1" applyAlignment="1">
      <alignment horizontal="right"/>
    </xf>
    <xf numFmtId="175" fontId="19" fillId="11" borderId="10" xfId="0" applyNumberFormat="1" applyFont="1" applyFill="1" applyBorder="1" applyAlignment="1">
      <alignment horizontal="center"/>
    </xf>
    <xf numFmtId="9" fontId="0" fillId="11" borderId="10" xfId="21" applyFont="1" applyFill="1" applyBorder="1" applyAlignment="1">
      <alignment horizontal="center"/>
    </xf>
    <xf numFmtId="0" fontId="11" fillId="0" borderId="7" xfId="0" quotePrefix="1" applyFont="1" applyBorder="1" applyAlignment="1">
      <alignment horizontal="center"/>
    </xf>
    <xf numFmtId="170" fontId="0" fillId="0" borderId="0" xfId="0" applyNumberFormat="1" applyAlignment="1">
      <alignment horizontal="center"/>
    </xf>
    <xf numFmtId="167" fontId="0" fillId="0" borderId="0" xfId="21" applyNumberFormat="1" applyFont="1" applyBorder="1" applyAlignment="1">
      <alignment horizontal="center"/>
    </xf>
    <xf numFmtId="0" fontId="0" fillId="4" borderId="1" xfId="0" applyFill="1" applyBorder="1"/>
    <xf numFmtId="169" fontId="18" fillId="4" borderId="11" xfId="0" applyNumberFormat="1" applyFont="1" applyFill="1" applyBorder="1"/>
    <xf numFmtId="175" fontId="18" fillId="4" borderId="11" xfId="0" applyNumberFormat="1" applyFont="1" applyFill="1" applyBorder="1"/>
    <xf numFmtId="169" fontId="11" fillId="4" borderId="0" xfId="0" applyNumberFormat="1" applyFont="1" applyFill="1"/>
    <xf numFmtId="175" fontId="0" fillId="4" borderId="0" xfId="0" applyNumberFormat="1" applyFill="1" applyAlignment="1">
      <alignment horizontal="right"/>
    </xf>
    <xf numFmtId="175" fontId="0" fillId="4" borderId="0" xfId="0" applyNumberFormat="1" applyFill="1"/>
    <xf numFmtId="16" fontId="0" fillId="13" borderId="7" xfId="0" applyNumberFormat="1" applyFill="1" applyBorder="1" applyAlignment="1">
      <alignment horizontal="center"/>
    </xf>
    <xf numFmtId="0" fontId="0" fillId="13" borderId="8" xfId="0" applyFill="1" applyBorder="1"/>
    <xf numFmtId="169" fontId="0" fillId="13" borderId="8" xfId="0" applyNumberFormat="1" applyFill="1" applyBorder="1"/>
    <xf numFmtId="0" fontId="0" fillId="13" borderId="9" xfId="0" applyFill="1" applyBorder="1"/>
    <xf numFmtId="5" fontId="0" fillId="13" borderId="7" xfId="14" applyNumberFormat="1" applyFont="1" applyFill="1" applyBorder="1"/>
    <xf numFmtId="5" fontId="0" fillId="13" borderId="9" xfId="14" applyNumberFormat="1" applyFont="1" applyFill="1" applyBorder="1"/>
    <xf numFmtId="16" fontId="0" fillId="13" borderId="1" xfId="0" applyNumberFormat="1" applyFill="1" applyBorder="1" applyAlignment="1">
      <alignment horizontal="center"/>
    </xf>
    <xf numFmtId="0" fontId="0" fillId="13" borderId="2" xfId="0" applyFill="1" applyBorder="1"/>
    <xf numFmtId="169" fontId="0" fillId="13" borderId="2" xfId="0" applyNumberFormat="1" applyFill="1" applyBorder="1"/>
    <xf numFmtId="5" fontId="0" fillId="13" borderId="1" xfId="14" applyNumberFormat="1" applyFont="1" applyFill="1" applyBorder="1"/>
    <xf numFmtId="5" fontId="0" fillId="13" borderId="11" xfId="14" applyNumberFormat="1" applyFont="1" applyFill="1" applyBorder="1"/>
    <xf numFmtId="16" fontId="0" fillId="13" borderId="14" xfId="0" applyNumberFormat="1" applyFill="1" applyBorder="1" applyAlignment="1">
      <alignment horizontal="center"/>
    </xf>
    <xf numFmtId="169" fontId="0" fillId="13" borderId="0" xfId="0" applyNumberFormat="1" applyFill="1"/>
    <xf numFmtId="5" fontId="0" fillId="13" borderId="14" xfId="14" applyNumberFormat="1" applyFont="1" applyFill="1" applyBorder="1"/>
    <xf numFmtId="5" fontId="0" fillId="13" borderId="13" xfId="14" applyNumberFormat="1" applyFont="1" applyFill="1" applyBorder="1"/>
    <xf numFmtId="16" fontId="18" fillId="29" borderId="7" xfId="0" applyNumberFormat="1" applyFont="1" applyFill="1" applyBorder="1" applyAlignment="1">
      <alignment horizontal="center"/>
    </xf>
    <xf numFmtId="0" fontId="18" fillId="29" borderId="8" xfId="0" applyFont="1" applyFill="1" applyBorder="1"/>
    <xf numFmtId="0" fontId="18" fillId="29" borderId="7" xfId="0" applyFont="1" applyFill="1" applyBorder="1"/>
    <xf numFmtId="169" fontId="18" fillId="29" borderId="9" xfId="0" applyNumberFormat="1" applyFont="1" applyFill="1" applyBorder="1"/>
    <xf numFmtId="0" fontId="18" fillId="29" borderId="10" xfId="0" applyFont="1" applyFill="1" applyBorder="1"/>
    <xf numFmtId="5" fontId="18" fillId="29" borderId="6" xfId="0" applyNumberFormat="1" applyFont="1" applyFill="1" applyBorder="1"/>
    <xf numFmtId="0" fontId="0" fillId="0" borderId="14" xfId="0" quotePrefix="1" applyBorder="1"/>
    <xf numFmtId="0" fontId="0" fillId="4" borderId="15" xfId="0" applyFill="1" applyBorder="1"/>
    <xf numFmtId="164" fontId="11" fillId="0" borderId="10" xfId="0" applyNumberFormat="1" applyFont="1" applyBorder="1" applyAlignment="1">
      <alignment horizontal="center"/>
    </xf>
    <xf numFmtId="0" fontId="0" fillId="5" borderId="7" xfId="0" applyFill="1" applyBorder="1" applyAlignment="1">
      <alignment horizontal="left"/>
    </xf>
    <xf numFmtId="0" fontId="0" fillId="5" borderId="9" xfId="0" applyFill="1" applyBorder="1" applyAlignment="1">
      <alignment horizontal="center"/>
    </xf>
    <xf numFmtId="167" fontId="11" fillId="11" borderId="11" xfId="21" applyNumberFormat="1" applyFont="1" applyFill="1" applyBorder="1" applyAlignment="1">
      <alignment horizontal="center"/>
    </xf>
    <xf numFmtId="167" fontId="19" fillId="5" borderId="9" xfId="0" applyNumberFormat="1" applyFont="1" applyFill="1" applyBorder="1" applyAlignment="1">
      <alignment horizontal="center"/>
    </xf>
    <xf numFmtId="1" fontId="0" fillId="0" borderId="10" xfId="0" applyNumberFormat="1" applyBorder="1"/>
    <xf numFmtId="0" fontId="0" fillId="0" borderId="73" xfId="0" applyBorder="1"/>
    <xf numFmtId="167" fontId="0" fillId="11" borderId="73" xfId="21" applyNumberFormat="1" applyFont="1" applyFill="1" applyBorder="1"/>
    <xf numFmtId="167" fontId="0" fillId="16" borderId="73" xfId="21" applyNumberFormat="1" applyFont="1" applyFill="1" applyBorder="1"/>
    <xf numFmtId="9" fontId="0" fillId="4" borderId="12" xfId="21" applyFont="1" applyFill="1" applyBorder="1"/>
    <xf numFmtId="9" fontId="0" fillId="16" borderId="92" xfId="21" applyFont="1" applyFill="1" applyBorder="1"/>
    <xf numFmtId="9" fontId="0" fillId="11" borderId="92" xfId="21" applyFont="1" applyFill="1" applyBorder="1"/>
    <xf numFmtId="0" fontId="0" fillId="12" borderId="13" xfId="0" applyFill="1" applyBorder="1"/>
    <xf numFmtId="15" fontId="30" fillId="0" borderId="0" xfId="0" quotePrefix="1" applyNumberFormat="1" applyFont="1"/>
    <xf numFmtId="0" fontId="30" fillId="0" borderId="0" xfId="0" applyFont="1" applyAlignment="1">
      <alignment horizontal="center"/>
    </xf>
    <xf numFmtId="169" fontId="30" fillId="5" borderId="11" xfId="0" applyNumberFormat="1" applyFont="1" applyFill="1" applyBorder="1" applyAlignment="1">
      <alignment horizontal="center"/>
    </xf>
    <xf numFmtId="169" fontId="30" fillId="11" borderId="11" xfId="0" applyNumberFormat="1" applyFont="1" applyFill="1" applyBorder="1" applyAlignment="1">
      <alignment horizontal="center"/>
    </xf>
    <xf numFmtId="169" fontId="30" fillId="16" borderId="11" xfId="0" applyNumberFormat="1" applyFont="1" applyFill="1" applyBorder="1" applyAlignment="1">
      <alignment horizontal="center"/>
    </xf>
    <xf numFmtId="169" fontId="30" fillId="4" borderId="11" xfId="0" applyNumberFormat="1" applyFont="1" applyFill="1" applyBorder="1" applyAlignment="1">
      <alignment horizontal="center"/>
    </xf>
    <xf numFmtId="166" fontId="0" fillId="16" borderId="10" xfId="0" applyNumberFormat="1" applyFill="1" applyBorder="1" applyAlignment="1">
      <alignment horizontal="center"/>
    </xf>
    <xf numFmtId="164" fontId="0" fillId="0" borderId="12" xfId="0" applyNumberFormat="1" applyBorder="1" applyAlignment="1">
      <alignment horizontal="center"/>
    </xf>
    <xf numFmtId="16" fontId="11" fillId="0" borderId="11" xfId="0" applyNumberFormat="1" applyFont="1" applyBorder="1" applyAlignment="1">
      <alignment horizontal="center"/>
    </xf>
    <xf numFmtId="169" fontId="0" fillId="0" borderId="0" xfId="21" applyNumberFormat="1" applyFont="1" applyFill="1" applyBorder="1"/>
    <xf numFmtId="9" fontId="1" fillId="0" borderId="0" xfId="21" applyFont="1" applyFill="1" applyBorder="1"/>
    <xf numFmtId="4" fontId="1" fillId="0" borderId="0" xfId="21" applyNumberFormat="1" applyFont="1" applyFill="1" applyBorder="1"/>
    <xf numFmtId="0" fontId="0" fillId="4" borderId="0" xfId="0" applyFill="1" applyAlignment="1">
      <alignment horizontal="center"/>
    </xf>
    <xf numFmtId="166" fontId="0" fillId="4" borderId="13" xfId="0" applyNumberFormat="1" applyFill="1" applyBorder="1" applyAlignment="1">
      <alignment horizontal="center"/>
    </xf>
    <xf numFmtId="167" fontId="11" fillId="0" borderId="2" xfId="21" applyNumberFormat="1" applyFont="1" applyBorder="1" applyAlignment="1">
      <alignment horizontal="center"/>
    </xf>
    <xf numFmtId="167" fontId="11" fillId="0" borderId="2" xfId="21" applyNumberFormat="1" applyFont="1" applyFill="1" applyBorder="1" applyAlignment="1">
      <alignment horizontal="center"/>
    </xf>
    <xf numFmtId="0" fontId="11" fillId="4" borderId="10" xfId="0" quotePrefix="1" applyFont="1" applyFill="1" applyBorder="1" applyAlignment="1">
      <alignment horizontal="center"/>
    </xf>
    <xf numFmtId="167" fontId="11" fillId="5" borderId="11" xfId="21" applyNumberFormat="1" applyFont="1" applyFill="1" applyBorder="1" applyAlignment="1">
      <alignment horizontal="center"/>
    </xf>
    <xf numFmtId="0" fontId="11" fillId="0" borderId="11" xfId="0" quotePrefix="1" applyFont="1" applyBorder="1" applyAlignment="1">
      <alignment horizontal="center"/>
    </xf>
    <xf numFmtId="167" fontId="11" fillId="11" borderId="10" xfId="21" applyNumberFormat="1" applyFont="1" applyFill="1" applyBorder="1" applyAlignment="1">
      <alignment horizontal="center"/>
    </xf>
    <xf numFmtId="169" fontId="18" fillId="16" borderId="10" xfId="0" applyNumberFormat="1" applyFont="1" applyFill="1" applyBorder="1" applyAlignment="1">
      <alignment horizontal="center"/>
    </xf>
    <xf numFmtId="169" fontId="19" fillId="16" borderId="10" xfId="0" applyNumberFormat="1" applyFont="1" applyFill="1" applyBorder="1" applyAlignment="1">
      <alignment horizontal="center"/>
    </xf>
    <xf numFmtId="167" fontId="19" fillId="16" borderId="10" xfId="21" applyNumberFormat="1" applyFont="1" applyFill="1" applyBorder="1" applyAlignment="1">
      <alignment horizontal="center"/>
    </xf>
    <xf numFmtId="167" fontId="11" fillId="0" borderId="3" xfId="21" applyNumberFormat="1" applyFont="1" applyFill="1" applyBorder="1" applyAlignment="1">
      <alignment horizontal="center"/>
    </xf>
    <xf numFmtId="169" fontId="18" fillId="11" borderId="10" xfId="0" applyNumberFormat="1" applyFont="1" applyFill="1" applyBorder="1" applyAlignment="1">
      <alignment horizontal="center"/>
    </xf>
    <xf numFmtId="169" fontId="19" fillId="11" borderId="10" xfId="0" applyNumberFormat="1" applyFont="1" applyFill="1" applyBorder="1" applyAlignment="1">
      <alignment horizontal="center"/>
    </xf>
    <xf numFmtId="167" fontId="19" fillId="11" borderId="10" xfId="21" applyNumberFormat="1" applyFont="1" applyFill="1" applyBorder="1" applyAlignment="1">
      <alignment horizontal="center"/>
    </xf>
    <xf numFmtId="4" fontId="11" fillId="16" borderId="10" xfId="0" applyNumberFormat="1" applyFont="1" applyFill="1" applyBorder="1" applyAlignment="1">
      <alignment horizontal="center"/>
    </xf>
    <xf numFmtId="175" fontId="0" fillId="0" borderId="53" xfId="0" applyNumberFormat="1" applyBorder="1" applyAlignment="1">
      <alignment horizontal="center"/>
    </xf>
    <xf numFmtId="9" fontId="0" fillId="0" borderId="11" xfId="21" applyFont="1" applyFill="1" applyBorder="1" applyAlignment="1">
      <alignment horizontal="center"/>
    </xf>
    <xf numFmtId="3" fontId="11" fillId="5" borderId="10" xfId="0" applyNumberFormat="1" applyFont="1" applyFill="1" applyBorder="1" applyAlignment="1">
      <alignment horizontal="left"/>
    </xf>
    <xf numFmtId="9" fontId="11" fillId="0" borderId="7" xfId="21" applyFont="1" applyFill="1" applyBorder="1"/>
    <xf numFmtId="9" fontId="11" fillId="5" borderId="11" xfId="21" applyFont="1" applyFill="1" applyBorder="1"/>
    <xf numFmtId="167" fontId="11" fillId="11" borderId="27" xfId="21" applyNumberFormat="1" applyFont="1" applyFill="1" applyBorder="1"/>
    <xf numFmtId="166" fontId="11" fillId="5" borderId="10" xfId="0" applyNumberFormat="1" applyFont="1" applyFill="1" applyBorder="1"/>
    <xf numFmtId="169" fontId="0" fillId="16" borderId="57" xfId="0" applyNumberFormat="1" applyFill="1" applyBorder="1"/>
    <xf numFmtId="9" fontId="0" fillId="16" borderId="11" xfId="21" applyFont="1" applyFill="1" applyBorder="1"/>
    <xf numFmtId="3" fontId="0" fillId="4" borderId="7" xfId="0" applyNumberFormat="1" applyFill="1" applyBorder="1"/>
    <xf numFmtId="3" fontId="0" fillId="4" borderId="8" xfId="0" applyNumberFormat="1" applyFill="1" applyBorder="1"/>
    <xf numFmtId="3" fontId="0" fillId="4" borderId="9" xfId="0" applyNumberFormat="1" applyFill="1" applyBorder="1"/>
    <xf numFmtId="3" fontId="11" fillId="4" borderId="10" xfId="0" applyNumberFormat="1" applyFont="1" applyFill="1" applyBorder="1"/>
    <xf numFmtId="0" fontId="0" fillId="0" borderId="61" xfId="0" applyBorder="1" applyAlignment="1">
      <alignment horizontal="right"/>
    </xf>
    <xf numFmtId="0" fontId="0" fillId="0" borderId="51" xfId="0" applyBorder="1" applyAlignment="1">
      <alignment horizontal="right"/>
    </xf>
    <xf numFmtId="166" fontId="0" fillId="0" borderId="51" xfId="0" applyNumberFormat="1" applyBorder="1" applyAlignment="1">
      <alignment horizontal="right"/>
    </xf>
    <xf numFmtId="0" fontId="37" fillId="0" borderId="10" xfId="0" quotePrefix="1" applyFont="1" applyBorder="1" applyAlignment="1">
      <alignment horizontal="center"/>
    </xf>
    <xf numFmtId="167" fontId="1" fillId="0" borderId="11" xfId="21" applyNumberFormat="1" applyFont="1" applyBorder="1" applyAlignment="1">
      <alignment horizontal="center"/>
    </xf>
    <xf numFmtId="167" fontId="1" fillId="0" borderId="10" xfId="21" applyNumberFormat="1" applyFont="1" applyFill="1" applyBorder="1" applyAlignment="1">
      <alignment horizontal="center"/>
    </xf>
    <xf numFmtId="6" fontId="1" fillId="0" borderId="10" xfId="0" applyNumberFormat="1" applyFont="1" applyBorder="1"/>
    <xf numFmtId="9" fontId="11" fillId="0" borderId="11" xfId="0" applyNumberFormat="1" applyFont="1" applyBorder="1" applyAlignment="1">
      <alignment horizontal="center"/>
    </xf>
    <xf numFmtId="9" fontId="11" fillId="0" borderId="12" xfId="0" applyNumberFormat="1" applyFont="1" applyBorder="1" applyAlignment="1">
      <alignment horizontal="center"/>
    </xf>
    <xf numFmtId="0" fontId="11" fillId="0" borderId="0" xfId="0" quotePrefix="1" applyFont="1"/>
    <xf numFmtId="0" fontId="0" fillId="0" borderId="10" xfId="0" quotePrefix="1" applyBorder="1" applyAlignment="1">
      <alignment horizontal="right"/>
    </xf>
    <xf numFmtId="169" fontId="18" fillId="0" borderId="1" xfId="0" applyNumberFormat="1" applyFont="1" applyBorder="1"/>
    <xf numFmtId="169" fontId="18" fillId="0" borderId="14" xfId="0" applyNumberFormat="1" applyFont="1" applyBorder="1"/>
    <xf numFmtId="169" fontId="18" fillId="0" borderId="12" xfId="0" applyNumberFormat="1" applyFont="1" applyBorder="1"/>
    <xf numFmtId="169" fontId="18" fillId="4" borderId="14" xfId="0" applyNumberFormat="1" applyFont="1" applyFill="1" applyBorder="1"/>
    <xf numFmtId="169" fontId="18" fillId="4" borderId="1" xfId="0" applyNumberFormat="1" applyFont="1" applyFill="1" applyBorder="1"/>
    <xf numFmtId="0" fontId="11" fillId="5" borderId="8" xfId="0" applyFont="1" applyFill="1" applyBorder="1" applyAlignment="1">
      <alignment horizontal="center"/>
    </xf>
    <xf numFmtId="169" fontId="0" fillId="16" borderId="50" xfId="0" applyNumberFormat="1" applyFill="1" applyBorder="1"/>
    <xf numFmtId="169" fontId="0" fillId="11" borderId="50" xfId="0" applyNumberFormat="1" applyFill="1" applyBorder="1"/>
    <xf numFmtId="169" fontId="0" fillId="16" borderId="1" xfId="0" applyNumberFormat="1" applyFill="1" applyBorder="1"/>
    <xf numFmtId="169" fontId="11" fillId="5" borderId="11" xfId="0" applyNumberFormat="1" applyFont="1" applyFill="1" applyBorder="1"/>
    <xf numFmtId="169" fontId="11" fillId="11" borderId="0" xfId="0" applyNumberFormat="1" applyFont="1" applyFill="1"/>
    <xf numFmtId="9" fontId="11" fillId="11" borderId="0" xfId="21" applyFont="1" applyFill="1" applyBorder="1"/>
    <xf numFmtId="167" fontId="11" fillId="11" borderId="0" xfId="21" applyNumberFormat="1" applyFont="1" applyFill="1" applyBorder="1"/>
    <xf numFmtId="0" fontId="11" fillId="11" borderId="0" xfId="0" applyFont="1" applyFill="1" applyAlignment="1">
      <alignment horizontal="center"/>
    </xf>
    <xf numFmtId="166" fontId="0" fillId="11" borderId="0" xfId="0" applyNumberFormat="1" applyFill="1"/>
    <xf numFmtId="0" fontId="11" fillId="11" borderId="0" xfId="0" applyFont="1" applyFill="1"/>
    <xf numFmtId="169" fontId="0" fillId="5" borderId="50" xfId="0" applyNumberFormat="1" applyFill="1" applyBorder="1"/>
    <xf numFmtId="169" fontId="0" fillId="9" borderId="50" xfId="0" applyNumberFormat="1" applyFill="1" applyBorder="1"/>
    <xf numFmtId="0" fontId="11" fillId="16" borderId="0" xfId="0" applyFont="1" applyFill="1" applyAlignment="1">
      <alignment horizontal="center"/>
    </xf>
    <xf numFmtId="9" fontId="11" fillId="16" borderId="0" xfId="21" applyFont="1" applyFill="1" applyBorder="1" applyAlignment="1">
      <alignment horizontal="center"/>
    </xf>
    <xf numFmtId="9" fontId="0" fillId="16" borderId="0" xfId="21" applyFont="1" applyFill="1" applyBorder="1"/>
    <xf numFmtId="167" fontId="11" fillId="16" borderId="0" xfId="21" applyNumberFormat="1" applyFont="1" applyFill="1" applyBorder="1" applyAlignment="1">
      <alignment horizontal="center"/>
    </xf>
    <xf numFmtId="169" fontId="0" fillId="11" borderId="1" xfId="0" applyNumberFormat="1" applyFill="1" applyBorder="1"/>
    <xf numFmtId="0" fontId="11" fillId="11" borderId="15" xfId="0" applyFont="1" applyFill="1" applyBorder="1" applyAlignment="1">
      <alignment horizontal="center"/>
    </xf>
    <xf numFmtId="0" fontId="29" fillId="11" borderId="4" xfId="0" applyFont="1" applyFill="1" applyBorder="1" applyAlignment="1">
      <alignment horizontal="center"/>
    </xf>
    <xf numFmtId="169" fontId="0" fillId="5" borderId="14" xfId="0" applyNumberFormat="1" applyFill="1" applyBorder="1"/>
    <xf numFmtId="169" fontId="11" fillId="5" borderId="0" xfId="0" applyNumberFormat="1" applyFont="1" applyFill="1"/>
    <xf numFmtId="9" fontId="11" fillId="5" borderId="0" xfId="21" applyFont="1" applyFill="1" applyBorder="1"/>
    <xf numFmtId="167" fontId="11" fillId="5" borderId="0" xfId="21" applyNumberFormat="1" applyFont="1" applyFill="1" applyBorder="1"/>
    <xf numFmtId="9" fontId="1" fillId="0" borderId="10" xfId="21" applyFont="1" applyBorder="1"/>
    <xf numFmtId="0" fontId="29" fillId="5" borderId="15" xfId="0" applyFont="1" applyFill="1" applyBorder="1" applyAlignment="1">
      <alignment horizontal="center"/>
    </xf>
    <xf numFmtId="9" fontId="0" fillId="5" borderId="11" xfId="21" applyFont="1" applyFill="1" applyBorder="1"/>
    <xf numFmtId="9" fontId="0" fillId="11" borderId="12" xfId="21" applyFont="1" applyFill="1" applyBorder="1"/>
    <xf numFmtId="9" fontId="0" fillId="16" borderId="27" xfId="21" applyFont="1" applyFill="1" applyBorder="1"/>
    <xf numFmtId="170" fontId="0" fillId="0" borderId="12" xfId="0" applyNumberFormat="1" applyBorder="1" applyAlignment="1">
      <alignment horizontal="center"/>
    </xf>
    <xf numFmtId="167" fontId="11" fillId="0" borderId="11" xfId="21" applyNumberFormat="1" applyFont="1" applyFill="1" applyBorder="1" applyAlignment="1">
      <alignment horizontal="center"/>
    </xf>
    <xf numFmtId="169" fontId="11" fillId="5" borderId="12" xfId="0" applyNumberFormat="1" applyFont="1" applyFill="1" applyBorder="1" applyAlignment="1">
      <alignment horizontal="right"/>
    </xf>
    <xf numFmtId="169" fontId="11" fillId="4" borderId="12" xfId="0" applyNumberFormat="1" applyFont="1" applyFill="1" applyBorder="1" applyAlignment="1">
      <alignment horizontal="right"/>
    </xf>
    <xf numFmtId="167" fontId="11" fillId="0" borderId="10" xfId="21" applyNumberFormat="1" applyFont="1" applyFill="1" applyBorder="1" applyAlignment="1">
      <alignment horizontal="center"/>
    </xf>
    <xf numFmtId="175" fontId="18" fillId="11" borderId="10" xfId="0" applyNumberFormat="1" applyFont="1" applyFill="1" applyBorder="1" applyAlignment="1">
      <alignment horizontal="center"/>
    </xf>
    <xf numFmtId="0" fontId="11" fillId="5" borderId="9" xfId="0" applyFont="1" applyFill="1" applyBorder="1" applyAlignment="1">
      <alignment horizontal="right"/>
    </xf>
    <xf numFmtId="169" fontId="0" fillId="5" borderId="9" xfId="0" applyNumberFormat="1" applyFill="1" applyBorder="1"/>
    <xf numFmtId="0" fontId="11" fillId="5" borderId="7" xfId="0" quotePrefix="1" applyFont="1" applyFill="1" applyBorder="1" applyAlignment="1">
      <alignment horizontal="left"/>
    </xf>
    <xf numFmtId="169" fontId="11" fillId="5" borderId="10" xfId="0" applyNumberFormat="1" applyFont="1" applyFill="1" applyBorder="1" applyAlignment="1">
      <alignment horizontal="left"/>
    </xf>
    <xf numFmtId="169" fontId="0" fillId="5" borderId="8" xfId="0" applyNumberFormat="1" applyFill="1" applyBorder="1"/>
    <xf numFmtId="169" fontId="11" fillId="5" borderId="9" xfId="0" applyNumberFormat="1" applyFont="1" applyFill="1" applyBorder="1"/>
    <xf numFmtId="0" fontId="11" fillId="11" borderId="1" xfId="0" applyFont="1" applyFill="1" applyBorder="1" applyAlignment="1">
      <alignment horizontal="center"/>
    </xf>
    <xf numFmtId="0" fontId="11" fillId="11" borderId="4" xfId="0" applyFont="1" applyFill="1" applyBorder="1" applyAlignment="1">
      <alignment horizontal="center"/>
    </xf>
    <xf numFmtId="0" fontId="11" fillId="0" borderId="96" xfId="0" applyFont="1" applyBorder="1" applyAlignment="1">
      <alignment horizontal="center"/>
    </xf>
    <xf numFmtId="169" fontId="0" fillId="0" borderId="97" xfId="0" applyNumberFormat="1" applyBorder="1"/>
    <xf numFmtId="0" fontId="0" fillId="0" borderId="98" xfId="0" applyBorder="1"/>
    <xf numFmtId="169" fontId="0" fillId="5" borderId="97" xfId="0" applyNumberFormat="1" applyFill="1" applyBorder="1"/>
    <xf numFmtId="169" fontId="0" fillId="11" borderId="97" xfId="0" applyNumberFormat="1" applyFill="1" applyBorder="1"/>
    <xf numFmtId="169" fontId="0" fillId="16" borderId="99" xfId="0" applyNumberFormat="1" applyFill="1" applyBorder="1"/>
    <xf numFmtId="0" fontId="11" fillId="0" borderId="100" xfId="0" applyFont="1" applyBorder="1" applyAlignment="1">
      <alignment horizontal="center"/>
    </xf>
    <xf numFmtId="5" fontId="0" fillId="13" borderId="3" xfId="14" applyNumberFormat="1" applyFont="1" applyFill="1" applyBorder="1"/>
    <xf numFmtId="0" fontId="0" fillId="3" borderId="0" xfId="0" applyFill="1" applyAlignment="1">
      <alignment horizontal="center"/>
    </xf>
    <xf numFmtId="0" fontId="0" fillId="16" borderId="10" xfId="0" quotePrefix="1" applyFill="1" applyBorder="1" applyAlignment="1">
      <alignment horizontal="center"/>
    </xf>
    <xf numFmtId="9" fontId="0" fillId="0" borderId="10" xfId="21" quotePrefix="1" applyFont="1" applyBorder="1" applyAlignment="1">
      <alignment horizontal="center"/>
    </xf>
    <xf numFmtId="167" fontId="11" fillId="5" borderId="27" xfId="21" applyNumberFormat="1" applyFont="1" applyFill="1" applyBorder="1"/>
    <xf numFmtId="9" fontId="0" fillId="0" borderId="0" xfId="21" quotePrefix="1" applyFont="1" applyFill="1" applyBorder="1" applyAlignment="1">
      <alignment horizontal="center"/>
    </xf>
    <xf numFmtId="169" fontId="11" fillId="5" borderId="10" xfId="21" applyNumberFormat="1" applyFont="1" applyFill="1" applyBorder="1"/>
    <xf numFmtId="0" fontId="0" fillId="16" borderId="10" xfId="0" quotePrefix="1" applyFill="1" applyBorder="1" applyAlignment="1">
      <alignment horizontal="right"/>
    </xf>
    <xf numFmtId="0" fontId="34" fillId="0" borderId="11" xfId="0" applyFont="1" applyBorder="1" applyAlignment="1">
      <alignment horizontal="center" vertical="center" wrapText="1"/>
    </xf>
    <xf numFmtId="167" fontId="0" fillId="16" borderId="7" xfId="0" applyNumberFormat="1" applyFill="1" applyBorder="1"/>
    <xf numFmtId="175" fontId="0" fillId="16" borderId="9" xfId="0" applyNumberFormat="1" applyFill="1" applyBorder="1" applyAlignment="1">
      <alignment horizontal="center"/>
    </xf>
    <xf numFmtId="167" fontId="0" fillId="11" borderId="7" xfId="0" applyNumberFormat="1" applyFill="1" applyBorder="1"/>
    <xf numFmtId="172" fontId="0" fillId="0" borderId="0" xfId="0" applyNumberFormat="1"/>
    <xf numFmtId="164" fontId="11" fillId="0" borderId="0" xfId="0" applyNumberFormat="1" applyFont="1"/>
    <xf numFmtId="164" fontId="0" fillId="0" borderId="10" xfId="0" applyNumberFormat="1" applyBorder="1"/>
    <xf numFmtId="173" fontId="0" fillId="0" borderId="10" xfId="0" applyNumberFormat="1" applyBorder="1"/>
    <xf numFmtId="9" fontId="0" fillId="0" borderId="10" xfId="0" applyNumberFormat="1" applyBorder="1"/>
    <xf numFmtId="172" fontId="0" fillId="0" borderId="10" xfId="0" applyNumberFormat="1" applyBorder="1"/>
    <xf numFmtId="164" fontId="0" fillId="0" borderId="12" xfId="0" applyNumberFormat="1" applyBorder="1"/>
    <xf numFmtId="164" fontId="0" fillId="0" borderId="73" xfId="0" applyNumberFormat="1" applyBorder="1"/>
    <xf numFmtId="9" fontId="0" fillId="0" borderId="12" xfId="0" applyNumberFormat="1" applyBorder="1"/>
    <xf numFmtId="166" fontId="0" fillId="0" borderId="12" xfId="0" applyNumberFormat="1" applyBorder="1"/>
    <xf numFmtId="167" fontId="0" fillId="0" borderId="73" xfId="0" applyNumberFormat="1" applyBorder="1"/>
    <xf numFmtId="2" fontId="0" fillId="0" borderId="73" xfId="0" applyNumberFormat="1" applyBorder="1"/>
    <xf numFmtId="167" fontId="0" fillId="0" borderId="12" xfId="0" applyNumberFormat="1" applyBorder="1"/>
    <xf numFmtId="164" fontId="0" fillId="0" borderId="5" xfId="0" applyNumberFormat="1" applyBorder="1"/>
    <xf numFmtId="1" fontId="0" fillId="0" borderId="5" xfId="0" applyNumberFormat="1" applyBorder="1"/>
    <xf numFmtId="166" fontId="0" fillId="0" borderId="73" xfId="0" applyNumberFormat="1" applyBorder="1"/>
    <xf numFmtId="0" fontId="0" fillId="12" borderId="73" xfId="0" applyFill="1" applyBorder="1"/>
    <xf numFmtId="164" fontId="0" fillId="2" borderId="10" xfId="1" applyNumberFormat="1" applyFont="1" applyFill="1" applyBorder="1" applyAlignment="1">
      <alignment horizontal="center"/>
    </xf>
    <xf numFmtId="0" fontId="37" fillId="0" borderId="10" xfId="0" applyFont="1" applyBorder="1" applyAlignment="1">
      <alignment horizontal="center"/>
    </xf>
    <xf numFmtId="169" fontId="0" fillId="0" borderId="12" xfId="0" applyNumberFormat="1" applyBorder="1" applyAlignment="1">
      <alignment horizontal="right"/>
    </xf>
    <xf numFmtId="6" fontId="11" fillId="5" borderId="10" xfId="0" applyNumberFormat="1" applyFont="1" applyFill="1" applyBorder="1"/>
    <xf numFmtId="4" fontId="1" fillId="0" borderId="10" xfId="0" applyNumberFormat="1" applyFont="1" applyBorder="1" applyAlignment="1">
      <alignment horizontal="center"/>
    </xf>
    <xf numFmtId="4" fontId="1" fillId="0" borderId="0" xfId="0" applyNumberFormat="1" applyFont="1" applyAlignment="1">
      <alignment horizontal="center"/>
    </xf>
    <xf numFmtId="4" fontId="0" fillId="0" borderId="0" xfId="0" applyNumberFormat="1" applyAlignment="1">
      <alignment horizontal="center"/>
    </xf>
    <xf numFmtId="4" fontId="1" fillId="0" borderId="7" xfId="0" applyNumberFormat="1" applyFont="1" applyBorder="1" applyAlignment="1">
      <alignment horizontal="center"/>
    </xf>
    <xf numFmtId="4" fontId="1" fillId="0" borderId="14" xfId="0" applyNumberFormat="1" applyFont="1" applyBorder="1" applyAlignment="1">
      <alignment horizontal="center"/>
    </xf>
    <xf numFmtId="167" fontId="0" fillId="0" borderId="10" xfId="21" applyNumberFormat="1" applyFont="1" applyBorder="1" applyAlignment="1">
      <alignment horizontal="right"/>
    </xf>
    <xf numFmtId="176" fontId="1" fillId="0" borderId="10" xfId="0" applyNumberFormat="1" applyFont="1" applyBorder="1" applyAlignment="1">
      <alignment horizontal="center"/>
    </xf>
    <xf numFmtId="167" fontId="0" fillId="16" borderId="7" xfId="21" applyNumberFormat="1" applyFont="1" applyFill="1" applyBorder="1" applyAlignment="1">
      <alignment horizontal="right"/>
    </xf>
    <xf numFmtId="169" fontId="0" fillId="16" borderId="7" xfId="0" applyNumberFormat="1" applyFill="1" applyBorder="1" applyAlignment="1">
      <alignment horizontal="right"/>
    </xf>
    <xf numFmtId="0" fontId="11" fillId="0" borderId="10" xfId="0" quotePrefix="1" applyFont="1" applyBorder="1" applyAlignment="1">
      <alignment horizontal="center"/>
    </xf>
    <xf numFmtId="167" fontId="11" fillId="5" borderId="10" xfId="0" applyNumberFormat="1" applyFont="1" applyFill="1" applyBorder="1"/>
    <xf numFmtId="0" fontId="11" fillId="16" borderId="10" xfId="0" quotePrefix="1" applyFont="1" applyFill="1" applyBorder="1" applyAlignment="1">
      <alignment horizontal="center"/>
    </xf>
    <xf numFmtId="16" fontId="11" fillId="2" borderId="12" xfId="0" quotePrefix="1" applyNumberFormat="1" applyFont="1" applyFill="1" applyBorder="1" applyAlignment="1">
      <alignment horizontal="center"/>
    </xf>
    <xf numFmtId="167" fontId="11" fillId="0" borderId="9" xfId="0" applyNumberFormat="1" applyFont="1" applyBorder="1" applyAlignment="1">
      <alignment horizontal="center"/>
    </xf>
    <xf numFmtId="0" fontId="13" fillId="0" borderId="0" xfId="462"/>
    <xf numFmtId="3" fontId="11" fillId="5" borderId="0" xfId="0" applyNumberFormat="1" applyFont="1" applyFill="1" applyAlignment="1">
      <alignment horizontal="center"/>
    </xf>
    <xf numFmtId="167" fontId="11" fillId="5" borderId="0" xfId="21" applyNumberFormat="1" applyFont="1" applyFill="1" applyBorder="1" applyAlignment="1">
      <alignment horizontal="center"/>
    </xf>
    <xf numFmtId="177" fontId="11" fillId="5" borderId="0" xfId="0" applyNumberFormat="1" applyFont="1" applyFill="1" applyAlignment="1">
      <alignment horizontal="center"/>
    </xf>
    <xf numFmtId="169" fontId="11" fillId="5" borderId="0" xfId="0" applyNumberFormat="1" applyFont="1" applyFill="1" applyAlignment="1">
      <alignment horizontal="center"/>
    </xf>
    <xf numFmtId="1" fontId="0" fillId="0" borderId="11" xfId="0" quotePrefix="1" applyNumberFormat="1" applyBorder="1" applyAlignment="1">
      <alignment horizontal="center"/>
    </xf>
    <xf numFmtId="3" fontId="11" fillId="0" borderId="7" xfId="0" applyNumberFormat="1" applyFont="1" applyBorder="1" applyAlignment="1">
      <alignment horizontal="left"/>
    </xf>
    <xf numFmtId="173" fontId="0" fillId="0" borderId="11" xfId="0" applyNumberFormat="1" applyBorder="1" applyAlignment="1">
      <alignment horizontal="center"/>
    </xf>
    <xf numFmtId="1" fontId="0" fillId="16" borderId="10" xfId="0" quotePrefix="1" applyNumberFormat="1" applyFill="1" applyBorder="1" applyAlignment="1">
      <alignment horizontal="center"/>
    </xf>
    <xf numFmtId="170" fontId="0" fillId="0" borderId="10" xfId="0" applyNumberFormat="1" applyBorder="1" applyAlignment="1">
      <alignment horizontal="center"/>
    </xf>
    <xf numFmtId="170" fontId="0" fillId="16" borderId="10" xfId="0" applyNumberFormat="1" applyFill="1" applyBorder="1" applyAlignment="1">
      <alignment horizontal="center"/>
    </xf>
    <xf numFmtId="170" fontId="11" fillId="5" borderId="10" xfId="0" applyNumberFormat="1" applyFont="1" applyFill="1" applyBorder="1" applyAlignment="1">
      <alignment horizontal="center"/>
    </xf>
    <xf numFmtId="3" fontId="0" fillId="7" borderId="10" xfId="0" applyNumberFormat="1" applyFill="1" applyBorder="1"/>
    <xf numFmtId="167" fontId="18" fillId="0" borderId="3" xfId="0" applyNumberFormat="1" applyFont="1" applyBorder="1" applyAlignment="1">
      <alignment horizontal="right"/>
    </xf>
    <xf numFmtId="183" fontId="0" fillId="0" borderId="0" xfId="21" applyNumberFormat="1" applyFont="1"/>
    <xf numFmtId="0" fontId="18" fillId="5" borderId="12" xfId="0" applyFont="1" applyFill="1" applyBorder="1" applyAlignment="1">
      <alignment horizontal="center"/>
    </xf>
    <xf numFmtId="176" fontId="0" fillId="5" borderId="12" xfId="0" applyNumberFormat="1" applyFill="1" applyBorder="1" applyAlignment="1">
      <alignment horizontal="center"/>
    </xf>
    <xf numFmtId="167" fontId="18" fillId="5" borderId="3" xfId="0" applyNumberFormat="1" applyFont="1" applyFill="1" applyBorder="1"/>
    <xf numFmtId="169" fontId="0" fillId="5" borderId="10" xfId="21" applyNumberFormat="1" applyFont="1" applyFill="1" applyBorder="1" applyAlignment="1">
      <alignment horizontal="right"/>
    </xf>
    <xf numFmtId="175" fontId="18" fillId="0" borderId="10" xfId="0" applyNumberFormat="1" applyFont="1" applyBorder="1" applyAlignment="1">
      <alignment horizontal="center"/>
    </xf>
    <xf numFmtId="166" fontId="18" fillId="11" borderId="12" xfId="0" applyNumberFormat="1" applyFont="1" applyFill="1" applyBorder="1" applyAlignment="1">
      <alignment horizontal="center"/>
    </xf>
    <xf numFmtId="175" fontId="11" fillId="0" borderId="11" xfId="0" applyNumberFormat="1" applyFont="1" applyBorder="1" applyAlignment="1">
      <alignment horizontal="center"/>
    </xf>
    <xf numFmtId="175" fontId="11" fillId="5" borderId="11" xfId="0" applyNumberFormat="1" applyFont="1" applyFill="1" applyBorder="1" applyAlignment="1">
      <alignment horizontal="center"/>
    </xf>
    <xf numFmtId="175" fontId="11" fillId="16" borderId="11" xfId="0" applyNumberFormat="1" applyFont="1" applyFill="1" applyBorder="1" applyAlignment="1">
      <alignment horizontal="center"/>
    </xf>
    <xf numFmtId="175" fontId="19" fillId="16" borderId="11" xfId="0" applyNumberFormat="1" applyFont="1" applyFill="1" applyBorder="1" applyAlignment="1">
      <alignment horizontal="center"/>
    </xf>
    <xf numFmtId="167" fontId="11" fillId="0" borderId="14" xfId="21" applyNumberFormat="1" applyFont="1" applyBorder="1" applyAlignment="1">
      <alignment horizontal="center"/>
    </xf>
    <xf numFmtId="0" fontId="11" fillId="0" borderId="78" xfId="0" applyFont="1" applyBorder="1"/>
    <xf numFmtId="167" fontId="11" fillId="5" borderId="79" xfId="21" applyNumberFormat="1" applyFont="1" applyFill="1" applyBorder="1" applyAlignment="1">
      <alignment horizontal="center"/>
    </xf>
    <xf numFmtId="167" fontId="11" fillId="16" borderId="79" xfId="21" applyNumberFormat="1" applyFont="1" applyFill="1" applyBorder="1" applyAlignment="1">
      <alignment horizontal="center"/>
    </xf>
    <xf numFmtId="167" fontId="11" fillId="16" borderId="101" xfId="21" applyNumberFormat="1" applyFont="1" applyFill="1" applyBorder="1" applyAlignment="1">
      <alignment horizontal="center"/>
    </xf>
    <xf numFmtId="0" fontId="11" fillId="0" borderId="22" xfId="0" applyFont="1" applyBorder="1"/>
    <xf numFmtId="0" fontId="11" fillId="4" borderId="30" xfId="0" applyFont="1" applyFill="1" applyBorder="1" applyAlignment="1">
      <alignment horizontal="center"/>
    </xf>
    <xf numFmtId="0" fontId="11" fillId="4" borderId="30" xfId="0" quotePrefix="1" applyFont="1" applyFill="1" applyBorder="1" applyAlignment="1">
      <alignment horizontal="left"/>
    </xf>
    <xf numFmtId="167" fontId="11" fillId="5" borderId="79" xfId="21" applyNumberFormat="1" applyFont="1" applyFill="1" applyBorder="1"/>
    <xf numFmtId="0" fontId="11" fillId="16" borderId="80" xfId="0" applyFont="1" applyFill="1" applyBorder="1"/>
    <xf numFmtId="0" fontId="0" fillId="16" borderId="30" xfId="0" applyFill="1" applyBorder="1"/>
    <xf numFmtId="167" fontId="11" fillId="16" borderId="30" xfId="0" applyNumberFormat="1" applyFont="1" applyFill="1" applyBorder="1" applyAlignment="1">
      <alignment horizontal="center"/>
    </xf>
    <xf numFmtId="167" fontId="19" fillId="16" borderId="101" xfId="21" applyNumberFormat="1" applyFont="1" applyFill="1" applyBorder="1" applyAlignment="1">
      <alignment horizontal="center"/>
    </xf>
    <xf numFmtId="0" fontId="11" fillId="5" borderId="80" xfId="0" applyFont="1" applyFill="1" applyBorder="1"/>
    <xf numFmtId="0" fontId="19" fillId="5" borderId="10" xfId="0" applyFont="1" applyFill="1" applyBorder="1" applyAlignment="1">
      <alignment horizontal="center"/>
    </xf>
    <xf numFmtId="175" fontId="19" fillId="5" borderId="10" xfId="0" applyNumberFormat="1" applyFont="1" applyFill="1" applyBorder="1" applyAlignment="1">
      <alignment horizontal="center"/>
    </xf>
    <xf numFmtId="166" fontId="18" fillId="5" borderId="12" xfId="0" applyNumberFormat="1" applyFont="1" applyFill="1" applyBorder="1" applyAlignment="1">
      <alignment horizontal="center"/>
    </xf>
    <xf numFmtId="166" fontId="11" fillId="0" borderId="0" xfId="21" applyNumberFormat="1" applyFont="1" applyFill="1" applyBorder="1"/>
    <xf numFmtId="166" fontId="1" fillId="0" borderId="0" xfId="21" applyNumberFormat="1" applyFont="1" applyFill="1" applyBorder="1"/>
    <xf numFmtId="170" fontId="11" fillId="0" borderId="12" xfId="0" applyNumberFormat="1" applyFont="1" applyBorder="1"/>
    <xf numFmtId="169" fontId="19" fillId="0" borderId="10" xfId="0" applyNumberFormat="1" applyFont="1" applyBorder="1"/>
    <xf numFmtId="169" fontId="11" fillId="5" borderId="12" xfId="0" applyNumberFormat="1" applyFont="1" applyFill="1" applyBorder="1"/>
    <xf numFmtId="170" fontId="11" fillId="0" borderId="10" xfId="0" applyNumberFormat="1" applyFont="1" applyBorder="1"/>
    <xf numFmtId="167" fontId="11" fillId="0" borderId="0" xfId="21" applyNumberFormat="1" applyFont="1" applyAlignment="1">
      <alignment horizontal="center"/>
    </xf>
    <xf numFmtId="167" fontId="0" fillId="0" borderId="0" xfId="21" applyNumberFormat="1" applyFont="1" applyAlignment="1">
      <alignment horizontal="center"/>
    </xf>
    <xf numFmtId="167" fontId="18" fillId="0" borderId="10" xfId="0" applyNumberFormat="1" applyFont="1" applyBorder="1" applyAlignment="1">
      <alignment horizontal="center"/>
    </xf>
    <xf numFmtId="0" fontId="0" fillId="24" borderId="10" xfId="0" applyFill="1" applyBorder="1"/>
    <xf numFmtId="0" fontId="0" fillId="4" borderId="13" xfId="0" applyFill="1" applyBorder="1" applyAlignment="1">
      <alignment horizontal="center"/>
    </xf>
    <xf numFmtId="167" fontId="0" fillId="0" borderId="15" xfId="21" quotePrefix="1" applyNumberFormat="1" applyFont="1" applyFill="1" applyBorder="1" applyAlignment="1">
      <alignment horizontal="center"/>
    </xf>
    <xf numFmtId="0" fontId="0" fillId="2" borderId="11" xfId="0" applyFill="1" applyBorder="1" applyAlignment="1">
      <alignment horizontal="center"/>
    </xf>
    <xf numFmtId="164" fontId="0" fillId="0" borderId="15" xfId="1" applyNumberFormat="1" applyFont="1" applyFill="1" applyBorder="1"/>
    <xf numFmtId="0" fontId="18" fillId="0" borderId="11" xfId="0" quotePrefix="1" applyFont="1" applyBorder="1"/>
    <xf numFmtId="0" fontId="18" fillId="0" borderId="13" xfId="0" quotePrefix="1" applyFont="1" applyBorder="1"/>
    <xf numFmtId="3" fontId="0" fillId="4" borderId="13" xfId="0" applyNumberFormat="1" applyFill="1" applyBorder="1" applyAlignment="1">
      <alignment horizontal="center"/>
    </xf>
    <xf numFmtId="3" fontId="0" fillId="4" borderId="11" xfId="0" applyNumberFormat="1" applyFill="1" applyBorder="1" applyAlignment="1">
      <alignment horizontal="center"/>
    </xf>
    <xf numFmtId="0" fontId="0" fillId="4" borderId="15" xfId="0" applyFill="1" applyBorder="1" applyAlignment="1">
      <alignment horizontal="center"/>
    </xf>
    <xf numFmtId="164" fontId="0" fillId="4" borderId="15" xfId="1" applyNumberFormat="1" applyFont="1" applyFill="1" applyBorder="1"/>
    <xf numFmtId="167" fontId="0" fillId="0" borderId="13" xfId="460" applyNumberFormat="1" applyFont="1" applyBorder="1" applyAlignment="1">
      <alignment horizontal="center"/>
    </xf>
    <xf numFmtId="164" fontId="0" fillId="0" borderId="14" xfId="461" applyNumberFormat="1" applyFont="1" applyBorder="1"/>
    <xf numFmtId="164" fontId="0" fillId="0" borderId="0" xfId="461" applyNumberFormat="1" applyFont="1" applyBorder="1"/>
    <xf numFmtId="9" fontId="0" fillId="0" borderId="15" xfId="460" applyFont="1" applyBorder="1"/>
    <xf numFmtId="164" fontId="0" fillId="9" borderId="15" xfId="461" applyNumberFormat="1" applyFont="1" applyFill="1" applyBorder="1"/>
    <xf numFmtId="44" fontId="0" fillId="2" borderId="14" xfId="461" applyFont="1" applyFill="1" applyBorder="1" applyAlignment="1">
      <alignment horizontal="right"/>
    </xf>
    <xf numFmtId="44" fontId="0" fillId="0" borderId="14" xfId="461" applyFont="1" applyFill="1" applyBorder="1" applyAlignment="1">
      <alignment horizontal="right"/>
    </xf>
    <xf numFmtId="44" fontId="0" fillId="0" borderId="13" xfId="461" applyFont="1" applyFill="1" applyBorder="1" applyAlignment="1">
      <alignment horizontal="right"/>
    </xf>
    <xf numFmtId="44" fontId="0" fillId="0" borderId="0" xfId="461" applyFont="1" applyBorder="1" applyAlignment="1">
      <alignment horizontal="right"/>
    </xf>
    <xf numFmtId="44" fontId="0" fillId="0" borderId="18" xfId="461" applyFont="1" applyBorder="1" applyAlignment="1">
      <alignment horizontal="right"/>
    </xf>
    <xf numFmtId="0" fontId="29" fillId="16" borderId="10" xfId="0" applyFont="1" applyFill="1" applyBorder="1"/>
    <xf numFmtId="2" fontId="0" fillId="4" borderId="13" xfId="0" applyNumberFormat="1" applyFill="1" applyBorder="1" applyAlignment="1">
      <alignment horizontal="center"/>
    </xf>
    <xf numFmtId="16" fontId="18" fillId="4" borderId="13" xfId="0" quotePrefix="1" applyNumberFormat="1" applyFont="1" applyFill="1" applyBorder="1"/>
    <xf numFmtId="0" fontId="19" fillId="0" borderId="15" xfId="0" applyFont="1" applyBorder="1" applyAlignment="1">
      <alignment horizontal="center"/>
    </xf>
    <xf numFmtId="0" fontId="19" fillId="0" borderId="14" xfId="0" applyFont="1" applyBorder="1" applyAlignment="1">
      <alignment horizontal="center"/>
    </xf>
    <xf numFmtId="167" fontId="18" fillId="0" borderId="15" xfId="0" applyNumberFormat="1" applyFont="1" applyBorder="1" applyAlignment="1">
      <alignment horizontal="right"/>
    </xf>
    <xf numFmtId="2" fontId="18" fillId="0" borderId="12" xfId="0" applyNumberFormat="1" applyFont="1" applyBorder="1" applyAlignment="1">
      <alignment horizontal="center"/>
    </xf>
    <xf numFmtId="0" fontId="19" fillId="0" borderId="4" xfId="0" applyFont="1" applyBorder="1" applyAlignment="1">
      <alignment horizontal="center"/>
    </xf>
    <xf numFmtId="0" fontId="19" fillId="0" borderId="9" xfId="0" applyFont="1" applyBorder="1" applyAlignment="1">
      <alignment horizontal="center"/>
    </xf>
    <xf numFmtId="3" fontId="11" fillId="0" borderId="8" xfId="0" applyNumberFormat="1" applyFont="1" applyBorder="1"/>
    <xf numFmtId="0" fontId="0" fillId="0" borderId="0" xfId="0" applyAlignment="1">
      <alignment horizontal="center" vertical="center"/>
    </xf>
    <xf numFmtId="0" fontId="11" fillId="5" borderId="0" xfId="0" applyFont="1" applyFill="1"/>
    <xf numFmtId="0" fontId="11" fillId="5" borderId="13" xfId="0" applyFont="1" applyFill="1" applyBorder="1"/>
    <xf numFmtId="0" fontId="11" fillId="11" borderId="13" xfId="0" applyFont="1" applyFill="1" applyBorder="1"/>
    <xf numFmtId="0" fontId="11" fillId="16" borderId="13" xfId="0" applyFont="1" applyFill="1" applyBorder="1"/>
    <xf numFmtId="0" fontId="0" fillId="16" borderId="14" xfId="0" applyFill="1" applyBorder="1"/>
    <xf numFmtId="0" fontId="0" fillId="16" borderId="0" xfId="0" applyFill="1"/>
    <xf numFmtId="169" fontId="0" fillId="16" borderId="0" xfId="0" applyNumberFormat="1" applyFill="1"/>
    <xf numFmtId="184" fontId="0" fillId="2" borderId="14" xfId="1" applyNumberFormat="1" applyFont="1" applyFill="1" applyBorder="1" applyAlignment="1">
      <alignment horizontal="center"/>
    </xf>
    <xf numFmtId="164" fontId="0" fillId="12" borderId="11" xfId="1" applyNumberFormat="1" applyFont="1" applyFill="1" applyBorder="1"/>
    <xf numFmtId="164" fontId="0" fillId="12" borderId="13" xfId="1" applyNumberFormat="1" applyFont="1" applyFill="1" applyBorder="1"/>
    <xf numFmtId="44" fontId="0" fillId="4" borderId="14" xfId="1" applyFont="1" applyFill="1" applyBorder="1" applyAlignment="1">
      <alignment horizontal="center"/>
    </xf>
    <xf numFmtId="164" fontId="0" fillId="4" borderId="14" xfId="1" applyNumberFormat="1" applyFont="1" applyFill="1" applyBorder="1"/>
    <xf numFmtId="164" fontId="0" fillId="4" borderId="0" xfId="1" applyNumberFormat="1" applyFont="1" applyFill="1" applyBorder="1"/>
    <xf numFmtId="164" fontId="0" fillId="4" borderId="13" xfId="1" applyNumberFormat="1" applyFont="1" applyFill="1" applyBorder="1"/>
    <xf numFmtId="17" fontId="18" fillId="0" borderId="13" xfId="0" quotePrefix="1" applyNumberFormat="1" applyFont="1" applyBorder="1"/>
    <xf numFmtId="0" fontId="0" fillId="16" borderId="7" xfId="0" applyFill="1" applyBorder="1" applyAlignment="1">
      <alignment horizontal="center"/>
    </xf>
    <xf numFmtId="0" fontId="0" fillId="16" borderId="8" xfId="0" applyFill="1" applyBorder="1" applyAlignment="1">
      <alignment horizontal="center"/>
    </xf>
    <xf numFmtId="0" fontId="0" fillId="16" borderId="9" xfId="0" applyFill="1" applyBorder="1" applyAlignment="1">
      <alignment horizontal="center"/>
    </xf>
    <xf numFmtId="0" fontId="19" fillId="0" borderId="7" xfId="0" applyFont="1" applyBorder="1" applyAlignment="1">
      <alignment horizontal="center"/>
    </xf>
    <xf numFmtId="0" fontId="19" fillId="0" borderId="31" xfId="0" applyFont="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11" fillId="0" borderId="7" xfId="0" applyFont="1" applyBorder="1" applyAlignment="1">
      <alignment horizontal="center"/>
    </xf>
    <xf numFmtId="0" fontId="11" fillId="0" borderId="9" xfId="0" applyFont="1" applyBorder="1" applyAlignment="1">
      <alignment horizontal="center"/>
    </xf>
    <xf numFmtId="15" fontId="11" fillId="0" borderId="7" xfId="0" quotePrefix="1" applyNumberFormat="1" applyFont="1" applyBorder="1" applyAlignment="1">
      <alignment horizontal="center"/>
    </xf>
    <xf numFmtId="15" fontId="11" fillId="0" borderId="9" xfId="0" quotePrefix="1" applyNumberFormat="1" applyFont="1" applyBorder="1" applyAlignment="1">
      <alignment horizontal="center"/>
    </xf>
    <xf numFmtId="0" fontId="11" fillId="0" borderId="1" xfId="0" applyFont="1" applyBorder="1" applyAlignment="1">
      <alignment horizontal="center"/>
    </xf>
    <xf numFmtId="0" fontId="11" fillId="0" borderId="3" xfId="0" applyFont="1" applyBorder="1" applyAlignment="1">
      <alignment horizontal="center"/>
    </xf>
    <xf numFmtId="0" fontId="11" fillId="0" borderId="8" xfId="0" applyFont="1" applyBorder="1" applyAlignment="1">
      <alignment horizontal="center"/>
    </xf>
    <xf numFmtId="0" fontId="11" fillId="0" borderId="2" xfId="0" applyFont="1" applyBorder="1" applyAlignment="1">
      <alignment horizontal="center"/>
    </xf>
    <xf numFmtId="0" fontId="29" fillId="0" borderId="10" xfId="0" applyFont="1" applyBorder="1" applyAlignment="1">
      <alignment horizontal="center"/>
    </xf>
    <xf numFmtId="167" fontId="11" fillId="0" borderId="10" xfId="21" applyNumberFormat="1" applyFont="1" applyBorder="1" applyAlignment="1">
      <alignment horizontal="center"/>
    </xf>
    <xf numFmtId="169" fontId="19" fillId="0" borderId="7" xfId="0" applyNumberFormat="1" applyFont="1" applyBorder="1" applyAlignment="1">
      <alignment horizontal="center"/>
    </xf>
    <xf numFmtId="169" fontId="19" fillId="0" borderId="31" xfId="0" applyNumberFormat="1" applyFont="1" applyBorder="1" applyAlignment="1">
      <alignment horizontal="center"/>
    </xf>
    <xf numFmtId="5" fontId="19" fillId="0" borderId="7" xfId="0" applyNumberFormat="1" applyFont="1" applyBorder="1" applyAlignment="1">
      <alignment horizontal="center"/>
    </xf>
    <xf numFmtId="5" fontId="19" fillId="0" borderId="31" xfId="0" applyNumberFormat="1" applyFont="1" applyBorder="1" applyAlignment="1">
      <alignment horizontal="center"/>
    </xf>
    <xf numFmtId="169" fontId="11" fillId="0" borderId="7" xfId="0" applyNumberFormat="1" applyFont="1" applyBorder="1" applyAlignment="1">
      <alignment horizontal="center"/>
    </xf>
    <xf numFmtId="169" fontId="11" fillId="0" borderId="9" xfId="0" applyNumberFormat="1" applyFont="1" applyBorder="1" applyAlignment="1">
      <alignment horizontal="center"/>
    </xf>
    <xf numFmtId="5" fontId="11" fillId="0" borderId="7" xfId="14" applyNumberFormat="1" applyFont="1" applyBorder="1" applyAlignment="1">
      <alignment horizontal="center"/>
    </xf>
    <xf numFmtId="5" fontId="11" fillId="0" borderId="9" xfId="14" applyNumberFormat="1" applyFont="1" applyBorder="1" applyAlignment="1">
      <alignment horizontal="center"/>
    </xf>
    <xf numFmtId="0" fontId="11" fillId="16" borderId="7" xfId="0" applyFont="1" applyFill="1" applyBorder="1" applyAlignment="1">
      <alignment horizontal="center"/>
    </xf>
    <xf numFmtId="0" fontId="11" fillId="16" borderId="9" xfId="0" applyFont="1" applyFill="1" applyBorder="1" applyAlignment="1">
      <alignment horizontal="center"/>
    </xf>
    <xf numFmtId="0" fontId="11" fillId="5" borderId="7" xfId="0" applyFont="1" applyFill="1" applyBorder="1" applyAlignment="1">
      <alignment horizontal="center"/>
    </xf>
    <xf numFmtId="0" fontId="11" fillId="5" borderId="9" xfId="0" applyFont="1" applyFill="1" applyBorder="1" applyAlignment="1">
      <alignment horizontal="center"/>
    </xf>
    <xf numFmtId="0" fontId="11" fillId="11" borderId="7" xfId="0" applyFont="1" applyFill="1" applyBorder="1" applyAlignment="1">
      <alignment horizontal="center"/>
    </xf>
    <xf numFmtId="0" fontId="11" fillId="11" borderId="9" xfId="0" applyFont="1" applyFill="1" applyBorder="1" applyAlignment="1">
      <alignment horizontal="center"/>
    </xf>
    <xf numFmtId="0" fontId="11" fillId="5" borderId="8" xfId="0" applyFont="1" applyFill="1" applyBorder="1" applyAlignment="1">
      <alignment horizontal="center"/>
    </xf>
    <xf numFmtId="0" fontId="11" fillId="11" borderId="10" xfId="0" applyFont="1" applyFill="1" applyBorder="1" applyAlignment="1">
      <alignment horizontal="center"/>
    </xf>
    <xf numFmtId="0" fontId="11" fillId="0" borderId="85" xfId="0" applyFont="1" applyBorder="1" applyAlignment="1">
      <alignment horizontal="center"/>
    </xf>
    <xf numFmtId="0" fontId="11" fillId="0" borderId="86" xfId="0" applyFont="1" applyBorder="1" applyAlignment="1">
      <alignment horizontal="center"/>
    </xf>
    <xf numFmtId="0" fontId="11" fillId="0" borderId="87" xfId="0" applyFont="1" applyBorder="1" applyAlignment="1">
      <alignment horizontal="center"/>
    </xf>
    <xf numFmtId="0" fontId="11" fillId="5" borderId="1" xfId="0" applyFont="1" applyFill="1" applyBorder="1" applyAlignment="1">
      <alignment horizontal="center"/>
    </xf>
    <xf numFmtId="0" fontId="11" fillId="5" borderId="3" xfId="0" applyFont="1" applyFill="1" applyBorder="1" applyAlignment="1">
      <alignment horizontal="center"/>
    </xf>
    <xf numFmtId="0" fontId="11" fillId="5" borderId="4" xfId="0" applyFont="1" applyFill="1" applyBorder="1" applyAlignment="1">
      <alignment horizontal="center"/>
    </xf>
    <xf numFmtId="0" fontId="11" fillId="5" borderId="6" xfId="0" applyFont="1" applyFill="1" applyBorder="1" applyAlignment="1">
      <alignment horizontal="center"/>
    </xf>
    <xf numFmtId="167" fontId="11" fillId="0" borderId="7" xfId="0" applyNumberFormat="1" applyFont="1" applyBorder="1" applyAlignment="1">
      <alignment horizontal="center"/>
    </xf>
    <xf numFmtId="167" fontId="11" fillId="0" borderId="9" xfId="0" applyNumberFormat="1" applyFont="1" applyBorder="1" applyAlignment="1">
      <alignment horizontal="center"/>
    </xf>
    <xf numFmtId="9" fontId="11" fillId="16" borderId="7" xfId="21" applyFont="1" applyFill="1" applyBorder="1" applyAlignment="1">
      <alignment horizontal="center"/>
    </xf>
    <xf numFmtId="9" fontId="11" fillId="16" borderId="9" xfId="21" applyFont="1" applyFill="1" applyBorder="1" applyAlignment="1">
      <alignment horizontal="center"/>
    </xf>
    <xf numFmtId="167" fontId="11" fillId="16" borderId="7" xfId="21" applyNumberFormat="1" applyFont="1" applyFill="1" applyBorder="1" applyAlignment="1">
      <alignment horizontal="center"/>
    </xf>
    <xf numFmtId="167" fontId="11" fillId="16" borderId="9" xfId="21" applyNumberFormat="1" applyFont="1" applyFill="1" applyBorder="1" applyAlignment="1">
      <alignment horizontal="center"/>
    </xf>
    <xf numFmtId="0" fontId="11" fillId="5" borderId="10" xfId="0" applyFont="1" applyFill="1" applyBorder="1" applyAlignment="1">
      <alignment horizontal="center"/>
    </xf>
    <xf numFmtId="0" fontId="11" fillId="0" borderId="14" xfId="0" applyFont="1" applyBorder="1" applyAlignment="1">
      <alignment horizontal="center"/>
    </xf>
    <xf numFmtId="0" fontId="11" fillId="0" borderId="15" xfId="0" applyFont="1" applyBorder="1" applyAlignment="1">
      <alignment horizontal="center"/>
    </xf>
    <xf numFmtId="0" fontId="11" fillId="0" borderId="4" xfId="0" applyFont="1" applyBorder="1" applyAlignment="1">
      <alignment horizontal="center"/>
    </xf>
    <xf numFmtId="0" fontId="11" fillId="0" borderId="6" xfId="0" applyFont="1" applyBorder="1" applyAlignment="1">
      <alignment horizontal="center"/>
    </xf>
    <xf numFmtId="0" fontId="11" fillId="11" borderId="8" xfId="0" applyFont="1" applyFill="1" applyBorder="1" applyAlignment="1">
      <alignment horizontal="center"/>
    </xf>
    <xf numFmtId="0" fontId="29" fillId="11" borderId="1" xfId="0" applyFont="1" applyFill="1" applyBorder="1" applyAlignment="1">
      <alignment horizontal="center"/>
    </xf>
    <xf numFmtId="0" fontId="29" fillId="11" borderId="3" xfId="0" applyFont="1" applyFill="1" applyBorder="1" applyAlignment="1">
      <alignment horizontal="center"/>
    </xf>
    <xf numFmtId="0" fontId="29" fillId="11" borderId="14" xfId="0" applyFont="1" applyFill="1" applyBorder="1" applyAlignment="1">
      <alignment horizontal="center"/>
    </xf>
    <xf numFmtId="0" fontId="29" fillId="11" borderId="15" xfId="0" applyFont="1" applyFill="1" applyBorder="1" applyAlignment="1">
      <alignment horizontal="center"/>
    </xf>
    <xf numFmtId="0" fontId="29" fillId="5" borderId="7" xfId="0" applyFont="1" applyFill="1" applyBorder="1" applyAlignment="1">
      <alignment horizontal="center"/>
    </xf>
    <xf numFmtId="0" fontId="29" fillId="5" borderId="8" xfId="0" applyFont="1" applyFill="1" applyBorder="1" applyAlignment="1">
      <alignment horizontal="center"/>
    </xf>
    <xf numFmtId="0" fontId="29" fillId="5" borderId="9" xfId="0" applyFont="1" applyFill="1" applyBorder="1" applyAlignment="1">
      <alignment horizontal="center"/>
    </xf>
    <xf numFmtId="0" fontId="34" fillId="11" borderId="4" xfId="0" applyFont="1" applyFill="1" applyBorder="1" applyAlignment="1">
      <alignment horizontal="center" vertical="center" wrapText="1"/>
    </xf>
    <xf numFmtId="0" fontId="34" fillId="11" borderId="6" xfId="0" applyFont="1" applyFill="1" applyBorder="1" applyAlignment="1">
      <alignment horizontal="center" vertical="center" wrapText="1"/>
    </xf>
    <xf numFmtId="0" fontId="11" fillId="5" borderId="1" xfId="0" applyFont="1" applyFill="1" applyBorder="1" applyAlignment="1">
      <alignment horizontal="left"/>
    </xf>
    <xf numFmtId="0" fontId="11" fillId="5" borderId="3" xfId="0" applyFont="1" applyFill="1" applyBorder="1" applyAlignment="1">
      <alignment horizontal="left"/>
    </xf>
    <xf numFmtId="0" fontId="11" fillId="5" borderId="7" xfId="0" applyFont="1" applyFill="1" applyBorder="1" applyAlignment="1">
      <alignment horizontal="left"/>
    </xf>
    <xf numFmtId="0" fontId="11" fillId="5" borderId="8" xfId="0" applyFont="1" applyFill="1" applyBorder="1" applyAlignment="1">
      <alignment horizontal="left"/>
    </xf>
    <xf numFmtId="0" fontId="11" fillId="0" borderId="10" xfId="0" applyFont="1" applyBorder="1" applyAlignment="1">
      <alignment horizontal="center"/>
    </xf>
    <xf numFmtId="0" fontId="29" fillId="16" borderId="7" xfId="0" applyFont="1" applyFill="1" applyBorder="1" applyAlignment="1">
      <alignment horizontal="center"/>
    </xf>
    <xf numFmtId="0" fontId="29" fillId="16" borderId="8" xfId="0" applyFont="1" applyFill="1" applyBorder="1" applyAlignment="1">
      <alignment horizontal="center"/>
    </xf>
    <xf numFmtId="0" fontId="29" fillId="4" borderId="1" xfId="0" applyFont="1" applyFill="1" applyBorder="1" applyAlignment="1">
      <alignment horizontal="center"/>
    </xf>
    <xf numFmtId="0" fontId="29" fillId="4" borderId="3" xfId="0" applyFont="1" applyFill="1" applyBorder="1" applyAlignment="1">
      <alignment horizontal="center"/>
    </xf>
    <xf numFmtId="0" fontId="29" fillId="4" borderId="4" xfId="0" applyFont="1" applyFill="1" applyBorder="1" applyAlignment="1">
      <alignment horizontal="center"/>
    </xf>
    <xf numFmtId="0" fontId="29" fillId="4" borderId="6" xfId="0" applyFont="1" applyFill="1" applyBorder="1" applyAlignment="1">
      <alignment horizontal="center"/>
    </xf>
    <xf numFmtId="0" fontId="19" fillId="11" borderId="7" xfId="0" applyFont="1" applyFill="1" applyBorder="1" applyAlignment="1">
      <alignment horizontal="center"/>
    </xf>
    <xf numFmtId="0" fontId="19" fillId="11" borderId="9" xfId="0" applyFont="1" applyFill="1" applyBorder="1" applyAlignment="1">
      <alignment horizontal="center"/>
    </xf>
    <xf numFmtId="0" fontId="19" fillId="11" borderId="10" xfId="0" applyFont="1" applyFill="1" applyBorder="1" applyAlignment="1">
      <alignment horizontal="center"/>
    </xf>
    <xf numFmtId="0" fontId="11" fillId="5" borderId="10" xfId="0" quotePrefix="1" applyFont="1" applyFill="1" applyBorder="1" applyAlignment="1">
      <alignment horizontal="center"/>
    </xf>
    <xf numFmtId="0" fontId="11" fillId="4" borderId="7" xfId="0" quotePrefix="1" applyFont="1" applyFill="1" applyBorder="1" applyAlignment="1">
      <alignment horizontal="center"/>
    </xf>
    <xf numFmtId="0" fontId="11" fillId="4" borderId="9" xfId="0" quotePrefix="1" applyFont="1" applyFill="1" applyBorder="1" applyAlignment="1">
      <alignment horizontal="center"/>
    </xf>
    <xf numFmtId="0" fontId="11" fillId="0" borderId="10" xfId="0" quotePrefix="1" applyFont="1" applyBorder="1" applyAlignment="1">
      <alignment horizontal="center"/>
    </xf>
    <xf numFmtId="0" fontId="11" fillId="0" borderId="7" xfId="0" quotePrefix="1" applyFont="1" applyBorder="1" applyAlignment="1">
      <alignment horizontal="center"/>
    </xf>
    <xf numFmtId="0" fontId="11" fillId="0" borderId="9" xfId="0" quotePrefix="1" applyFont="1" applyBorder="1" applyAlignment="1">
      <alignment horizontal="center"/>
    </xf>
    <xf numFmtId="0" fontId="29" fillId="16" borderId="9" xfId="0" applyFont="1" applyFill="1" applyBorder="1" applyAlignment="1">
      <alignment horizontal="center"/>
    </xf>
    <xf numFmtId="0" fontId="29" fillId="16" borderId="10" xfId="0" applyFont="1" applyFill="1" applyBorder="1" applyAlignment="1">
      <alignment horizontal="center"/>
    </xf>
    <xf numFmtId="0" fontId="37" fillId="0" borderId="7" xfId="0" applyFont="1" applyBorder="1" applyAlignment="1">
      <alignment horizontal="center"/>
    </xf>
    <xf numFmtId="0" fontId="37" fillId="0" borderId="9" xfId="0" applyFont="1" applyBorder="1" applyAlignment="1">
      <alignment horizontal="center"/>
    </xf>
    <xf numFmtId="0" fontId="37" fillId="0" borderId="1" xfId="0" applyFont="1" applyBorder="1" applyAlignment="1">
      <alignment horizontal="center"/>
    </xf>
    <xf numFmtId="0" fontId="37" fillId="0" borderId="2" xfId="0" applyFont="1" applyBorder="1" applyAlignment="1">
      <alignment horizontal="center"/>
    </xf>
    <xf numFmtId="0" fontId="37" fillId="0" borderId="8" xfId="0" applyFont="1" applyBorder="1" applyAlignment="1">
      <alignment horizontal="center"/>
    </xf>
    <xf numFmtId="0" fontId="11" fillId="16" borderId="1" xfId="0" applyFont="1" applyFill="1" applyBorder="1" applyAlignment="1">
      <alignment horizontal="center"/>
    </xf>
    <xf numFmtId="0" fontId="11" fillId="16" borderId="3" xfId="0" applyFont="1" applyFill="1" applyBorder="1" applyAlignment="1">
      <alignment horizontal="center"/>
    </xf>
    <xf numFmtId="0" fontId="11" fillId="16" borderId="4" xfId="0" applyFont="1" applyFill="1" applyBorder="1" applyAlignment="1">
      <alignment horizontal="center"/>
    </xf>
    <xf numFmtId="0" fontId="11" fillId="16" borderId="6" xfId="0" applyFont="1" applyFill="1" applyBorder="1" applyAlignment="1">
      <alignment horizontal="center"/>
    </xf>
    <xf numFmtId="0" fontId="29" fillId="11" borderId="7" xfId="0" applyFont="1" applyFill="1" applyBorder="1" applyAlignment="1">
      <alignment horizontal="center"/>
    </xf>
    <xf numFmtId="0" fontId="29" fillId="11" borderId="9" xfId="0" applyFont="1" applyFill="1" applyBorder="1" applyAlignment="1">
      <alignment horizontal="center"/>
    </xf>
    <xf numFmtId="0" fontId="29" fillId="11" borderId="8" xfId="0" applyFont="1" applyFill="1" applyBorder="1" applyAlignment="1">
      <alignment horizontal="center"/>
    </xf>
    <xf numFmtId="0" fontId="11" fillId="0" borderId="8" xfId="0" quotePrefix="1" applyFont="1" applyBorder="1" applyAlignment="1">
      <alignment horizontal="center"/>
    </xf>
    <xf numFmtId="0" fontId="11" fillId="0" borderId="0" xfId="0" applyFont="1" applyAlignment="1">
      <alignment horizontal="center"/>
    </xf>
    <xf numFmtId="0" fontId="11" fillId="16" borderId="7" xfId="0" applyFont="1" applyFill="1" applyBorder="1" applyAlignment="1">
      <alignment horizontal="left"/>
    </xf>
    <xf numFmtId="0" fontId="11" fillId="16" borderId="9" xfId="0" applyFont="1" applyFill="1" applyBorder="1" applyAlignment="1">
      <alignment horizontal="left"/>
    </xf>
    <xf numFmtId="0" fontId="0" fillId="0" borderId="7" xfId="0" applyBorder="1" applyAlignment="1">
      <alignment horizontal="left"/>
    </xf>
    <xf numFmtId="0" fontId="0" fillId="0" borderId="9" xfId="0" applyBorder="1" applyAlignment="1">
      <alignment horizontal="left"/>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169" fontId="11" fillId="0" borderId="0" xfId="0" applyNumberFormat="1" applyFont="1" applyAlignment="1">
      <alignment horizontal="center"/>
    </xf>
    <xf numFmtId="169" fontId="11" fillId="0" borderId="1" xfId="0" applyNumberFormat="1" applyFont="1" applyBorder="1" applyAlignment="1">
      <alignment horizontal="center"/>
    </xf>
    <xf numFmtId="169" fontId="11" fillId="0" borderId="3" xfId="0" applyNumberFormat="1" applyFont="1" applyBorder="1" applyAlignment="1">
      <alignment horizontal="center"/>
    </xf>
    <xf numFmtId="169" fontId="11" fillId="0" borderId="14" xfId="0" applyNumberFormat="1" applyFont="1" applyBorder="1" applyAlignment="1">
      <alignment horizontal="center"/>
    </xf>
    <xf numFmtId="169" fontId="11" fillId="0" borderId="15" xfId="0" applyNumberFormat="1" applyFont="1" applyBorder="1" applyAlignment="1">
      <alignment horizontal="center"/>
    </xf>
  </cellXfs>
  <cellStyles count="463">
    <cellStyle name="Comma" xfId="14" builtinId="3"/>
    <cellStyle name="Currency" xfId="1" builtinId="4"/>
    <cellStyle name="Currency 2" xfId="461" xr:uid="{AEC28A7E-DAC0-1545-AFEA-1BFD9182952F}"/>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6" builtinId="9" hidden="1"/>
    <cellStyle name="Followed Hyperlink" xfId="18" builtinId="9" hidden="1"/>
    <cellStyle name="Followed Hyperlink" xfId="20"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5" builtinId="8" hidden="1"/>
    <cellStyle name="Hyperlink" xfId="17" builtinId="8" hidden="1"/>
    <cellStyle name="Hyperlink" xfId="19"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462" builtinId="8"/>
    <cellStyle name="Normal" xfId="0" builtinId="0"/>
    <cellStyle name="Percent" xfId="21" builtinId="5"/>
    <cellStyle name="Percent 2" xfId="460" xr:uid="{40934045-44AC-DA4F-A1B8-0F7266750E9A}"/>
  </cellStyles>
  <dxfs count="0"/>
  <tableStyles count="0" defaultTableStyle="TableStyleMedium9" defaultPivotStyle="PivotStyleMedium4"/>
  <colors>
    <mruColors>
      <color rgb="FFCED4FD"/>
      <color rgb="FFBFC5EB"/>
      <color rgb="FFF5FFC5"/>
      <color rgb="FFB2FFC5"/>
      <color rgb="FFF5FFE8"/>
      <color rgb="FF9092ED"/>
      <color rgb="FFA8AE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18</xdr:col>
      <xdr:colOff>114300</xdr:colOff>
      <xdr:row>38</xdr:row>
      <xdr:rowOff>68581</xdr:rowOff>
    </xdr:from>
    <xdr:to>
      <xdr:col>18</xdr:col>
      <xdr:colOff>571500</xdr:colOff>
      <xdr:row>38</xdr:row>
      <xdr:rowOff>114300</xdr:rowOff>
    </xdr:to>
    <xdr:sp macro="" textlink="">
      <xdr:nvSpPr>
        <xdr:cNvPr id="2" name="Right Arrow 1">
          <a:extLst>
            <a:ext uri="{FF2B5EF4-FFF2-40B4-BE49-F238E27FC236}">
              <a16:creationId xmlns:a16="http://schemas.microsoft.com/office/drawing/2014/main" id="{C987D569-EBBE-AED1-DCAA-4690505B669B}"/>
            </a:ext>
          </a:extLst>
        </xdr:cNvPr>
        <xdr:cNvSpPr/>
      </xdr:nvSpPr>
      <xdr:spPr>
        <a:xfrm>
          <a:off x="8293100" y="7625081"/>
          <a:ext cx="457200" cy="45719"/>
        </a:xfrm>
        <a:prstGeom prst="righ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clientData/>
  </xdr:twoCellAnchor>
  <xdr:twoCellAnchor>
    <xdr:from>
      <xdr:col>18</xdr:col>
      <xdr:colOff>114300</xdr:colOff>
      <xdr:row>29</xdr:row>
      <xdr:rowOff>68581</xdr:rowOff>
    </xdr:from>
    <xdr:to>
      <xdr:col>18</xdr:col>
      <xdr:colOff>571500</xdr:colOff>
      <xdr:row>29</xdr:row>
      <xdr:rowOff>114300</xdr:rowOff>
    </xdr:to>
    <xdr:sp macro="" textlink="">
      <xdr:nvSpPr>
        <xdr:cNvPr id="3" name="Right Arrow 2">
          <a:extLst>
            <a:ext uri="{FF2B5EF4-FFF2-40B4-BE49-F238E27FC236}">
              <a16:creationId xmlns:a16="http://schemas.microsoft.com/office/drawing/2014/main" id="{7A341F55-A518-484D-AA3E-BD7550B1D2BA}"/>
            </a:ext>
          </a:extLst>
        </xdr:cNvPr>
        <xdr:cNvSpPr/>
      </xdr:nvSpPr>
      <xdr:spPr>
        <a:xfrm>
          <a:off x="8572500" y="7625081"/>
          <a:ext cx="457200" cy="45719"/>
        </a:xfrm>
        <a:prstGeom prst="righ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clientData/>
  </xdr:twoCellAnchor>
  <xdr:twoCellAnchor>
    <xdr:from>
      <xdr:col>18</xdr:col>
      <xdr:colOff>152400</xdr:colOff>
      <xdr:row>41</xdr:row>
      <xdr:rowOff>88900</xdr:rowOff>
    </xdr:from>
    <xdr:to>
      <xdr:col>18</xdr:col>
      <xdr:colOff>609600</xdr:colOff>
      <xdr:row>41</xdr:row>
      <xdr:rowOff>134619</xdr:rowOff>
    </xdr:to>
    <xdr:sp macro="" textlink="">
      <xdr:nvSpPr>
        <xdr:cNvPr id="5" name="Right Arrow 4">
          <a:extLst>
            <a:ext uri="{FF2B5EF4-FFF2-40B4-BE49-F238E27FC236}">
              <a16:creationId xmlns:a16="http://schemas.microsoft.com/office/drawing/2014/main" id="{9CBD30C3-E505-9F44-89D2-AA43A084D2CE}"/>
            </a:ext>
          </a:extLst>
        </xdr:cNvPr>
        <xdr:cNvSpPr/>
      </xdr:nvSpPr>
      <xdr:spPr>
        <a:xfrm>
          <a:off x="11150600" y="12725400"/>
          <a:ext cx="457200" cy="45719"/>
        </a:xfrm>
        <a:prstGeom prst="righ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ft.lk/front-page/Biggest-shareholder-Fairfax-invests-Rs-4-b-more-to-up-JKH-stake-by-1-to-26-5/44-787948"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hyperlink" Target="https://finance.yahoo.com/news/cvw-sustainable-royalties-announces-50-120300004.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9D3AC-E086-D04D-A1B9-7B14FE55C647}">
  <dimension ref="A1:BI199"/>
  <sheetViews>
    <sheetView tabSelected="1" zoomScaleNormal="100" workbookViewId="0">
      <selection activeCell="S90" sqref="S90"/>
    </sheetView>
  </sheetViews>
  <sheetFormatPr baseColWidth="10" defaultRowHeight="16"/>
  <cols>
    <col min="1" max="1" width="5.83203125" customWidth="1"/>
    <col min="2" max="2" width="4.5" style="30" customWidth="1"/>
    <col min="3" max="3" width="8.83203125" style="30" hidden="1" customWidth="1"/>
    <col min="4" max="4" width="9.33203125" style="30" hidden="1" customWidth="1"/>
    <col min="5" max="5" width="8.1640625" style="30" customWidth="1"/>
    <col min="6" max="6" width="18.83203125" customWidth="1"/>
    <col min="7" max="7" width="6.83203125" style="30" customWidth="1"/>
    <col min="8" max="8" width="1.33203125" customWidth="1"/>
    <col min="9" max="10" width="9.33203125" customWidth="1"/>
    <col min="11" max="11" width="8.33203125" customWidth="1"/>
    <col min="12" max="12" width="6" customWidth="1"/>
    <col min="13" max="13" width="8.6640625" customWidth="1"/>
    <col min="14" max="14" width="1.33203125" customWidth="1"/>
    <col min="15" max="15" width="6" style="30" hidden="1" customWidth="1"/>
    <col min="16" max="17" width="10" style="30" hidden="1" customWidth="1"/>
    <col min="18" max="18" width="1.5" style="30" hidden="1" customWidth="1"/>
    <col min="19" max="19" width="7.6640625" style="30" customWidth="1"/>
    <col min="20" max="20" width="1.33203125" style="30" customWidth="1"/>
    <col min="21" max="22" width="9.1640625" style="30" customWidth="1"/>
    <col min="23" max="23" width="1.33203125" style="30" customWidth="1"/>
    <col min="24" max="24" width="9.1640625" style="30" hidden="1" customWidth="1"/>
    <col min="25" max="26" width="9.33203125" style="30" hidden="1" customWidth="1"/>
    <col min="27" max="27" width="9.5" style="30" hidden="1" customWidth="1"/>
    <col min="28" max="30" width="8.6640625" style="30" hidden="1" customWidth="1"/>
    <col min="31" max="41" width="9.33203125" style="30" hidden="1" customWidth="1"/>
    <col min="42" max="42" width="10.5" style="30" hidden="1" customWidth="1"/>
    <col min="43" max="43" width="1.83203125" style="30" hidden="1" customWidth="1"/>
    <col min="44" max="44" width="13.33203125" style="30" hidden="1" customWidth="1"/>
    <col min="45" max="45" width="12.1640625" style="30" hidden="1" customWidth="1"/>
    <col min="46" max="46" width="26.33203125" customWidth="1"/>
    <col min="47" max="47" width="14.1640625" customWidth="1"/>
    <col min="48" max="48" width="13.6640625" customWidth="1"/>
    <col min="49" max="49" width="17" customWidth="1"/>
    <col min="50" max="50" width="14" customWidth="1"/>
    <col min="51" max="51" width="15" bestFit="1" customWidth="1"/>
    <col min="52" max="52" width="12.1640625" customWidth="1"/>
    <col min="53" max="53" width="4.83203125" customWidth="1"/>
  </cols>
  <sheetData>
    <row r="1" spans="2:49">
      <c r="AR1" s="104"/>
      <c r="AS1" s="104"/>
    </row>
    <row r="2" spans="2:49" ht="21">
      <c r="E2" s="4" t="s">
        <v>1073</v>
      </c>
      <c r="G2" s="35"/>
      <c r="H2" s="4"/>
      <c r="I2" s="4"/>
      <c r="J2" s="4"/>
      <c r="K2" s="4"/>
      <c r="L2" s="4"/>
      <c r="M2" s="4"/>
      <c r="N2" s="4"/>
      <c r="U2" s="1817">
        <v>22.3</v>
      </c>
      <c r="V2" s="1350" t="s">
        <v>1505</v>
      </c>
      <c r="W2" s="317"/>
      <c r="X2" s="317"/>
      <c r="Y2" s="317"/>
      <c r="Z2" s="317"/>
      <c r="AA2" s="31"/>
      <c r="AC2" s="1191"/>
      <c r="AD2" s="742" t="s">
        <v>1077</v>
      </c>
      <c r="AE2" s="206" t="s">
        <v>152</v>
      </c>
      <c r="AJ2" s="27"/>
      <c r="AK2" s="27"/>
      <c r="AL2" s="27"/>
      <c r="AM2" s="49"/>
      <c r="AR2" s="104"/>
      <c r="AS2" s="104"/>
    </row>
    <row r="3" spans="2:49" ht="8" customHeight="1">
      <c r="E3" s="7"/>
      <c r="K3" s="30"/>
      <c r="AR3" s="104"/>
      <c r="AS3" s="104"/>
    </row>
    <row r="4" spans="2:49" ht="17" thickBot="1">
      <c r="I4" s="2075" t="s">
        <v>1268</v>
      </c>
      <c r="J4" s="2078"/>
      <c r="K4" s="2076"/>
      <c r="L4" s="42"/>
      <c r="N4" s="42"/>
      <c r="O4" s="2071" t="s">
        <v>37</v>
      </c>
      <c r="P4" s="2077"/>
      <c r="Q4" s="2077"/>
      <c r="R4" s="153"/>
      <c r="S4" s="40" t="s">
        <v>78</v>
      </c>
      <c r="U4" s="2071" t="s">
        <v>26</v>
      </c>
      <c r="V4" s="2072"/>
      <c r="W4" s="1235"/>
      <c r="X4" s="11"/>
      <c r="Y4" s="123"/>
      <c r="Z4" s="133"/>
      <c r="AA4" s="133"/>
      <c r="AB4" s="133"/>
      <c r="AC4" s="133"/>
      <c r="AD4" s="133"/>
      <c r="AE4" s="133"/>
      <c r="AF4" s="133"/>
      <c r="AG4" s="133"/>
      <c r="AH4" s="133"/>
      <c r="AI4" s="133"/>
      <c r="AJ4" s="133"/>
      <c r="AK4" s="133"/>
      <c r="AL4" s="133"/>
      <c r="AM4" s="133"/>
      <c r="AN4" s="133"/>
      <c r="AO4" s="133"/>
      <c r="AP4" s="1537"/>
      <c r="AR4" s="132" t="s">
        <v>26</v>
      </c>
      <c r="AS4" s="133"/>
    </row>
    <row r="5" spans="2:49" s="42" customFormat="1" ht="17" thickBot="1">
      <c r="B5" s="40"/>
      <c r="C5" s="2075" t="s">
        <v>52</v>
      </c>
      <c r="D5" s="2076"/>
      <c r="E5" s="285" t="s">
        <v>828</v>
      </c>
      <c r="F5" s="294"/>
      <c r="G5" s="212" t="s">
        <v>38</v>
      </c>
      <c r="I5" s="40" t="s">
        <v>19</v>
      </c>
      <c r="J5" s="40" t="s">
        <v>19</v>
      </c>
      <c r="K5" s="2077" t="s">
        <v>16</v>
      </c>
      <c r="L5" s="2072"/>
      <c r="M5" s="40" t="s">
        <v>13</v>
      </c>
      <c r="O5" s="51"/>
      <c r="P5" s="71" t="s">
        <v>19</v>
      </c>
      <c r="Q5" s="71" t="s">
        <v>19</v>
      </c>
      <c r="S5" s="51" t="s">
        <v>14</v>
      </c>
      <c r="U5" s="40">
        <v>2026</v>
      </c>
      <c r="V5" s="40">
        <v>2026</v>
      </c>
      <c r="W5" s="71"/>
      <c r="X5" s="40">
        <v>2025</v>
      </c>
      <c r="Y5" s="212">
        <v>2024</v>
      </c>
      <c r="Z5" s="242"/>
      <c r="AA5" s="242"/>
      <c r="AB5" s="242"/>
      <c r="AC5" s="242"/>
      <c r="AD5" s="242"/>
      <c r="AE5" s="242"/>
      <c r="AF5" s="242"/>
      <c r="AG5" s="242"/>
      <c r="AH5" s="242"/>
      <c r="AI5" s="242"/>
      <c r="AJ5" s="242"/>
      <c r="AK5" s="242"/>
      <c r="AL5" s="242"/>
      <c r="AM5" s="242"/>
      <c r="AN5" s="242"/>
      <c r="AO5" s="242"/>
      <c r="AP5" s="103"/>
      <c r="AR5" s="134">
        <v>2019</v>
      </c>
      <c r="AS5" s="135" t="s">
        <v>69</v>
      </c>
    </row>
    <row r="6" spans="2:49" s="42" customFormat="1">
      <c r="B6" s="41"/>
      <c r="C6" s="648">
        <v>46171</v>
      </c>
      <c r="D6" s="169">
        <v>46112</v>
      </c>
      <c r="E6" s="101" t="s">
        <v>35</v>
      </c>
      <c r="F6" s="170" t="s">
        <v>8</v>
      </c>
      <c r="G6" s="41" t="s">
        <v>39</v>
      </c>
      <c r="H6" s="34"/>
      <c r="I6" s="780">
        <f>+U6</f>
        <v>46171</v>
      </c>
      <c r="J6" s="780">
        <v>46387</v>
      </c>
      <c r="K6" s="39" t="s">
        <v>17</v>
      </c>
      <c r="L6" s="39" t="s">
        <v>39</v>
      </c>
      <c r="M6" s="41" t="s">
        <v>10</v>
      </c>
      <c r="O6" s="41"/>
      <c r="P6" s="115">
        <v>45769</v>
      </c>
      <c r="Q6" s="115">
        <v>45747</v>
      </c>
      <c r="S6" s="41" t="s">
        <v>15</v>
      </c>
      <c r="U6" s="1963">
        <v>46171</v>
      </c>
      <c r="V6" s="780">
        <v>46112</v>
      </c>
      <c r="W6" s="1532"/>
      <c r="X6" s="780">
        <v>45747</v>
      </c>
      <c r="Y6" s="780">
        <v>46022</v>
      </c>
      <c r="Z6" s="300">
        <v>45565</v>
      </c>
      <c r="AA6" s="300">
        <v>45473</v>
      </c>
      <c r="AB6" s="300">
        <v>45291</v>
      </c>
      <c r="AC6" s="300">
        <v>45199</v>
      </c>
      <c r="AD6" s="300">
        <v>45107</v>
      </c>
      <c r="AE6" s="300">
        <v>44926</v>
      </c>
      <c r="AF6" s="300">
        <v>44834</v>
      </c>
      <c r="AG6" s="300">
        <v>44742</v>
      </c>
      <c r="AH6" s="300">
        <v>44651</v>
      </c>
      <c r="AI6" s="300">
        <v>44926</v>
      </c>
      <c r="AJ6" s="300">
        <v>44469</v>
      </c>
      <c r="AK6" s="300">
        <v>44377</v>
      </c>
      <c r="AL6" s="300">
        <v>44286</v>
      </c>
      <c r="AM6" s="172">
        <v>44196</v>
      </c>
      <c r="AN6" s="173">
        <v>44104</v>
      </c>
      <c r="AO6" s="171">
        <v>44012</v>
      </c>
      <c r="AP6" s="169">
        <v>43921</v>
      </c>
      <c r="AQ6" s="2"/>
      <c r="AR6" s="174">
        <v>44196</v>
      </c>
      <c r="AS6" s="1531"/>
      <c r="AT6" s="729" t="s">
        <v>99</v>
      </c>
      <c r="AV6"/>
    </row>
    <row r="7" spans="2:49" ht="6" customHeight="1">
      <c r="AP7" s="93"/>
      <c r="AR7" s="105"/>
      <c r="AS7" s="105"/>
    </row>
    <row r="8" spans="2:49">
      <c r="B8" s="159" t="s">
        <v>21</v>
      </c>
      <c r="C8" s="2019">
        <v>0.7248</v>
      </c>
      <c r="D8" s="159">
        <v>0.71799999999999997</v>
      </c>
      <c r="E8" s="15" t="s">
        <v>1385</v>
      </c>
      <c r="F8" s="18" t="s">
        <v>829</v>
      </c>
      <c r="G8" s="1204">
        <v>0.17580000000000001</v>
      </c>
      <c r="H8" s="69"/>
      <c r="I8" s="121">
        <f>+C8*P8</f>
        <v>426.62778960000003</v>
      </c>
      <c r="J8" s="16">
        <f>+D8*Q8</f>
        <v>511.03383622000001</v>
      </c>
      <c r="K8" s="16">
        <f>+I8-J8</f>
        <v>-84.406046619999984</v>
      </c>
      <c r="L8" s="1205">
        <f>+K8/J8</f>
        <v>-0.16516723676133099</v>
      </c>
      <c r="M8" s="109"/>
      <c r="N8" s="107"/>
      <c r="O8" s="58" t="s">
        <v>21</v>
      </c>
      <c r="P8" s="144">
        <f>+S8*U8</f>
        <v>588.61450000000002</v>
      </c>
      <c r="Q8" s="144">
        <f t="shared" ref="Q8:Q13" si="0">+S8*V8</f>
        <v>711.74629000000004</v>
      </c>
      <c r="R8" s="86"/>
      <c r="S8" s="88">
        <v>31.817</v>
      </c>
      <c r="T8" s="80"/>
      <c r="U8" s="176">
        <v>18.5</v>
      </c>
      <c r="V8" s="191">
        <v>22.37</v>
      </c>
      <c r="W8" s="192"/>
      <c r="X8" s="191">
        <v>13.44</v>
      </c>
      <c r="Y8" s="191">
        <v>7.96</v>
      </c>
      <c r="Z8" s="191">
        <v>5.44</v>
      </c>
      <c r="AA8" s="191">
        <v>5.25</v>
      </c>
      <c r="AB8" s="1529">
        <v>2.91</v>
      </c>
      <c r="AC8" s="191">
        <v>4.8</v>
      </c>
      <c r="AD8" s="191">
        <v>5.56</v>
      </c>
      <c r="AE8" s="191">
        <v>5.48</v>
      </c>
      <c r="AF8" s="191">
        <v>4.51</v>
      </c>
      <c r="AG8" s="191">
        <v>2.39</v>
      </c>
      <c r="AH8" s="191">
        <v>2.75</v>
      </c>
      <c r="AI8" s="191">
        <v>2.5299999999999998</v>
      </c>
      <c r="AJ8" s="191">
        <v>2.5299999999999998</v>
      </c>
      <c r="AK8" s="191">
        <v>0</v>
      </c>
      <c r="AL8" s="191">
        <v>28.17</v>
      </c>
      <c r="AM8" s="191">
        <v>22.73</v>
      </c>
      <c r="AN8" s="1530">
        <v>11.36</v>
      </c>
      <c r="AO8" s="113">
        <v>7.65</v>
      </c>
      <c r="AP8" s="220">
        <v>4.13</v>
      </c>
      <c r="AQ8" s="15"/>
      <c r="AR8" s="177"/>
      <c r="AS8" s="257"/>
      <c r="AT8" s="1352" t="s">
        <v>2392</v>
      </c>
      <c r="AW8" s="211"/>
    </row>
    <row r="9" spans="2:49">
      <c r="B9" s="80" t="s">
        <v>23</v>
      </c>
      <c r="C9" s="838">
        <v>1.9130000000000001E-2</v>
      </c>
      <c r="D9" s="80">
        <v>1.83E-2</v>
      </c>
      <c r="E9" s="7" t="s">
        <v>31</v>
      </c>
      <c r="F9" s="60" t="s">
        <v>22</v>
      </c>
      <c r="G9" s="65">
        <v>7.0000000000000007E-2</v>
      </c>
      <c r="H9" s="69"/>
      <c r="I9" s="74">
        <f t="shared" ref="I9:J10" si="1">+C9*P9</f>
        <v>605.28659100000004</v>
      </c>
      <c r="J9" s="75">
        <f t="shared" si="1"/>
        <v>526.78197</v>
      </c>
      <c r="K9" s="75">
        <f>+I9-J9</f>
        <v>78.504621000000043</v>
      </c>
      <c r="L9" s="67">
        <f>+K9/J9</f>
        <v>0.14902678047238413</v>
      </c>
      <c r="M9" s="107"/>
      <c r="N9" s="107"/>
      <c r="O9" s="58" t="s">
        <v>23</v>
      </c>
      <c r="P9" s="144">
        <f t="shared" ref="P9" si="2">+S9*U9</f>
        <v>31640.7</v>
      </c>
      <c r="Q9" s="144">
        <f t="shared" si="0"/>
        <v>28785.9</v>
      </c>
      <c r="R9" s="86"/>
      <c r="S9" s="88">
        <v>237.9</v>
      </c>
      <c r="T9" s="89"/>
      <c r="U9" s="166">
        <v>133</v>
      </c>
      <c r="V9" s="192">
        <v>121</v>
      </c>
      <c r="W9" s="192"/>
      <c r="X9" s="192">
        <v>82.45</v>
      </c>
      <c r="Y9" s="192">
        <v>78.5</v>
      </c>
      <c r="Z9" s="192">
        <v>84.5</v>
      </c>
      <c r="AA9" s="192">
        <v>77.400000000000006</v>
      </c>
      <c r="AB9" s="1202">
        <v>69.2</v>
      </c>
      <c r="AC9" s="192">
        <v>60</v>
      </c>
      <c r="AD9" s="192">
        <v>51</v>
      </c>
      <c r="AE9" s="192">
        <v>41.48</v>
      </c>
      <c r="AF9" s="192">
        <v>25.13</v>
      </c>
      <c r="AG9" s="192">
        <v>37.28</v>
      </c>
      <c r="AH9" s="192">
        <v>46.19</v>
      </c>
      <c r="AI9" s="192">
        <v>52.99</v>
      </c>
      <c r="AJ9" s="192">
        <v>42.66</v>
      </c>
      <c r="AK9" s="192">
        <f>52.5/1.33</f>
        <v>39.473684210526315</v>
      </c>
      <c r="AL9" s="192">
        <f>58/1.333</f>
        <v>43.510877719429857</v>
      </c>
      <c r="AM9" s="192">
        <f>59.2/1.333</f>
        <v>44.411102775693927</v>
      </c>
      <c r="AN9" s="147">
        <f>66.56/1.333</f>
        <v>49.932483120780198</v>
      </c>
      <c r="AO9" s="110">
        <f>64.54/1.333</f>
        <v>48.417104276069026</v>
      </c>
      <c r="AP9" s="164">
        <f>58.77/1.333</f>
        <v>44.088522130532638</v>
      </c>
      <c r="AR9" s="136">
        <v>82.5</v>
      </c>
      <c r="AS9" s="105">
        <f>+AR9*S9*C9</f>
        <v>375.45972750000004</v>
      </c>
      <c r="AT9" s="356" t="s">
        <v>2360</v>
      </c>
    </row>
    <row r="10" spans="2:49">
      <c r="B10" s="80" t="s">
        <v>20</v>
      </c>
      <c r="C10" s="80">
        <v>1</v>
      </c>
      <c r="D10" s="80">
        <v>1</v>
      </c>
      <c r="E10" s="30" t="s">
        <v>2377</v>
      </c>
      <c r="F10" s="1797" t="s">
        <v>2378</v>
      </c>
      <c r="G10" s="82"/>
      <c r="H10" s="69"/>
      <c r="I10" s="74">
        <f t="shared" si="1"/>
        <v>465.16249999999997</v>
      </c>
      <c r="J10" s="184">
        <f t="shared" si="1"/>
        <v>472.03749999999997</v>
      </c>
      <c r="K10" s="75">
        <f>+I10-J10</f>
        <v>-6.875</v>
      </c>
      <c r="L10" s="67">
        <f>+K10/J10</f>
        <v>-1.4564520827264784E-2</v>
      </c>
      <c r="M10" s="107"/>
      <c r="N10" s="107"/>
      <c r="O10" s="58" t="s">
        <v>20</v>
      </c>
      <c r="P10" s="144">
        <f>+S10*U10</f>
        <v>465.16249999999997</v>
      </c>
      <c r="Q10" s="144">
        <f>+S10*V10</f>
        <v>472.03749999999997</v>
      </c>
      <c r="R10" s="86"/>
      <c r="S10" s="2038">
        <v>13.75</v>
      </c>
      <c r="T10" s="80"/>
      <c r="U10" s="166">
        <v>33.83</v>
      </c>
      <c r="V10" s="192">
        <v>34.33</v>
      </c>
      <c r="W10" s="192"/>
      <c r="X10" s="192">
        <v>5.95</v>
      </c>
      <c r="Y10" s="192">
        <v>7.46</v>
      </c>
      <c r="Z10" s="192">
        <v>8.36</v>
      </c>
      <c r="AA10" s="192">
        <v>6.99</v>
      </c>
      <c r="AB10" s="147">
        <v>104</v>
      </c>
      <c r="AC10" s="192">
        <v>86.9</v>
      </c>
      <c r="AD10" s="192">
        <v>100.92</v>
      </c>
      <c r="AE10" s="192">
        <v>74.489999999999995</v>
      </c>
      <c r="AF10" s="192">
        <v>68.95</v>
      </c>
      <c r="AG10" s="192">
        <v>81.75</v>
      </c>
      <c r="AH10" s="192">
        <v>104.26</v>
      </c>
      <c r="AI10" s="192">
        <v>120.31</v>
      </c>
      <c r="AJ10" s="192">
        <v>111.65</v>
      </c>
      <c r="AK10" s="192">
        <v>120.16</v>
      </c>
      <c r="AL10" s="192">
        <v>118.28</v>
      </c>
      <c r="AM10" s="192">
        <v>109.04</v>
      </c>
      <c r="AN10" s="147"/>
      <c r="AO10" s="110"/>
      <c r="AP10" s="95"/>
      <c r="AQ10" s="58"/>
      <c r="AR10" s="105"/>
      <c r="AS10" s="105"/>
      <c r="AT10" s="2039" t="s">
        <v>2379</v>
      </c>
      <c r="AW10" s="211"/>
    </row>
    <row r="11" spans="2:49">
      <c r="B11" s="80" t="s">
        <v>18</v>
      </c>
      <c r="C11" s="80">
        <f>+C57</f>
        <v>1.1660999999999999</v>
      </c>
      <c r="D11" s="80">
        <f>+D57</f>
        <v>1.1552</v>
      </c>
      <c r="E11" s="30" t="s">
        <v>151</v>
      </c>
      <c r="F11" s="60" t="s">
        <v>1660</v>
      </c>
      <c r="G11" s="295">
        <v>8.3400000000000002E-2</v>
      </c>
      <c r="H11" s="69"/>
      <c r="I11" s="74">
        <f t="shared" ref="I11:J12" si="3">+C11*P11</f>
        <v>582.8265752399999</v>
      </c>
      <c r="J11" s="75">
        <f t="shared" si="3"/>
        <v>461.24086271999994</v>
      </c>
      <c r="K11" s="75">
        <f>+I11-J11</f>
        <v>121.58571251999996</v>
      </c>
      <c r="L11" s="67">
        <f>+K11/J11</f>
        <v>0.26360568272939333</v>
      </c>
      <c r="M11" s="107"/>
      <c r="N11" s="107"/>
      <c r="O11" s="58" t="s">
        <v>18</v>
      </c>
      <c r="P11" s="144">
        <f>+S11*U11</f>
        <v>499.80839999999995</v>
      </c>
      <c r="Q11" s="144">
        <f>+S11*V11</f>
        <v>399.27359999999993</v>
      </c>
      <c r="R11" s="86"/>
      <c r="S11" s="88">
        <v>11.94</v>
      </c>
      <c r="T11" s="80"/>
      <c r="U11" s="1118">
        <v>41.86</v>
      </c>
      <c r="V11" s="342">
        <v>33.44</v>
      </c>
      <c r="W11" s="342"/>
      <c r="X11" s="342">
        <v>40.6</v>
      </c>
      <c r="Y11" s="342">
        <v>33.520000000000003</v>
      </c>
      <c r="Z11" s="342">
        <v>35.380000000000003</v>
      </c>
      <c r="AA11" s="343">
        <v>34.86</v>
      </c>
      <c r="AB11" s="342">
        <v>36.700000000000003</v>
      </c>
      <c r="AC11" s="342">
        <v>34.880000000000003</v>
      </c>
      <c r="AD11" s="192">
        <v>32.340000000000003</v>
      </c>
      <c r="AE11" s="192">
        <v>20.3</v>
      </c>
      <c r="AF11" s="192">
        <v>13.99</v>
      </c>
      <c r="AG11" s="192">
        <v>14</v>
      </c>
      <c r="AH11" s="192">
        <v>14.85</v>
      </c>
      <c r="AI11" s="192">
        <v>15.18</v>
      </c>
      <c r="AJ11" s="192">
        <v>15.18</v>
      </c>
      <c r="AK11" s="204"/>
      <c r="AL11" s="204">
        <v>2069</v>
      </c>
      <c r="AM11" s="204">
        <v>1752</v>
      </c>
      <c r="AN11" s="148">
        <v>1469</v>
      </c>
      <c r="AO11" s="110"/>
      <c r="AP11" s="164"/>
      <c r="AR11" s="136"/>
      <c r="AS11" s="105"/>
      <c r="AT11" s="356" t="s">
        <v>2027</v>
      </c>
      <c r="AW11" s="211"/>
    </row>
    <row r="12" spans="2:49">
      <c r="B12" s="80" t="s">
        <v>20</v>
      </c>
      <c r="C12" s="80">
        <v>1</v>
      </c>
      <c r="D12" s="80">
        <v>1</v>
      </c>
      <c r="E12" s="30" t="s">
        <v>1635</v>
      </c>
      <c r="F12" s="1797" t="s">
        <v>1632</v>
      </c>
      <c r="G12" s="82"/>
      <c r="H12" s="69"/>
      <c r="I12" s="74">
        <f t="shared" si="3"/>
        <v>385.62900000000002</v>
      </c>
      <c r="J12" s="184">
        <f t="shared" si="3"/>
        <v>388.99400000000003</v>
      </c>
      <c r="K12" s="75">
        <f>+I12-J12</f>
        <v>-3.3650000000000091</v>
      </c>
      <c r="L12" s="67">
        <f>+K12/J12</f>
        <v>-8.6505190311418918E-3</v>
      </c>
      <c r="M12" s="107"/>
      <c r="N12" s="107"/>
      <c r="O12" s="58" t="s">
        <v>20</v>
      </c>
      <c r="P12" s="144">
        <f>+S12*U12</f>
        <v>385.62900000000002</v>
      </c>
      <c r="Q12" s="144">
        <f>+S12*V12</f>
        <v>388.99400000000003</v>
      </c>
      <c r="R12" s="86"/>
      <c r="S12" s="1824">
        <f>45.3+22</f>
        <v>67.3</v>
      </c>
      <c r="T12" s="80"/>
      <c r="U12" s="166">
        <v>5.73</v>
      </c>
      <c r="V12" s="192">
        <v>5.78</v>
      </c>
      <c r="W12" s="192"/>
      <c r="X12" s="192">
        <v>5.95</v>
      </c>
      <c r="Y12" s="192">
        <v>7.46</v>
      </c>
      <c r="Z12" s="192">
        <v>8.36</v>
      </c>
      <c r="AA12" s="192">
        <v>6.99</v>
      </c>
      <c r="AB12" s="147">
        <v>104</v>
      </c>
      <c r="AC12" s="192">
        <v>86.9</v>
      </c>
      <c r="AD12" s="192">
        <v>100.92</v>
      </c>
      <c r="AE12" s="192">
        <v>74.489999999999995</v>
      </c>
      <c r="AF12" s="192">
        <v>68.95</v>
      </c>
      <c r="AG12" s="192">
        <v>81.75</v>
      </c>
      <c r="AH12" s="192">
        <v>104.26</v>
      </c>
      <c r="AI12" s="192">
        <v>120.31</v>
      </c>
      <c r="AJ12" s="192">
        <v>111.65</v>
      </c>
      <c r="AK12" s="192">
        <v>120.16</v>
      </c>
      <c r="AL12" s="192">
        <v>118.28</v>
      </c>
      <c r="AM12" s="192">
        <v>109.04</v>
      </c>
      <c r="AN12" s="147"/>
      <c r="AO12" s="110"/>
      <c r="AP12" s="95"/>
      <c r="AQ12" s="58"/>
      <c r="AR12" s="105"/>
      <c r="AS12" s="105"/>
      <c r="AT12" s="2022" t="s">
        <v>2394</v>
      </c>
      <c r="AW12" s="211"/>
    </row>
    <row r="13" spans="2:49">
      <c r="B13" s="80" t="s">
        <v>20</v>
      </c>
      <c r="C13" s="80">
        <v>1</v>
      </c>
      <c r="D13" s="80">
        <v>1</v>
      </c>
      <c r="E13" s="30" t="s">
        <v>1843</v>
      </c>
      <c r="F13" s="60" t="s">
        <v>1843</v>
      </c>
      <c r="G13" s="65"/>
      <c r="H13" s="69"/>
      <c r="I13" s="74">
        <f t="shared" ref="I13" si="4">+C13*P13</f>
        <v>246.73776000000004</v>
      </c>
      <c r="J13" s="75">
        <f t="shared" ref="J13" si="5">+D13*Q13</f>
        <v>194.77583999999999</v>
      </c>
      <c r="K13" s="75">
        <f t="shared" ref="K13" si="6">+I13-J13</f>
        <v>51.961920000000049</v>
      </c>
      <c r="L13" s="67">
        <f t="shared" ref="L13" si="7">+K13/J13</f>
        <v>0.26677805625174073</v>
      </c>
      <c r="M13" s="107"/>
      <c r="N13" s="107"/>
      <c r="O13" s="58" t="s">
        <v>20</v>
      </c>
      <c r="P13" s="144">
        <f t="shared" ref="P13" si="8">+S13*U13</f>
        <v>246.73776000000004</v>
      </c>
      <c r="Q13" s="144">
        <f t="shared" si="0"/>
        <v>194.77583999999999</v>
      </c>
      <c r="R13" s="86"/>
      <c r="S13" s="1044">
        <v>2.7120000000000002</v>
      </c>
      <c r="T13" s="80"/>
      <c r="U13" s="166">
        <v>90.98</v>
      </c>
      <c r="V13" s="192">
        <v>71.819999999999993</v>
      </c>
      <c r="W13" s="192"/>
      <c r="X13" s="192">
        <v>67.75</v>
      </c>
      <c r="Y13" s="192">
        <v>44.89</v>
      </c>
      <c r="Z13" s="192"/>
      <c r="AA13" s="192"/>
      <c r="AB13" s="192"/>
      <c r="AC13" s="192"/>
      <c r="AD13" s="192"/>
      <c r="AE13" s="192"/>
      <c r="AF13" s="192"/>
      <c r="AG13" s="192"/>
      <c r="AH13" s="192"/>
      <c r="AI13" s="192"/>
      <c r="AJ13" s="192"/>
      <c r="AK13" s="192"/>
      <c r="AL13" s="192"/>
      <c r="AM13" s="192"/>
      <c r="AN13" s="147"/>
      <c r="AO13" s="110"/>
      <c r="AP13" s="164"/>
      <c r="AR13" s="136"/>
      <c r="AS13" s="105"/>
      <c r="AT13" s="2022" t="s">
        <v>2394</v>
      </c>
    </row>
    <row r="14" spans="2:49">
      <c r="B14" s="80" t="s">
        <v>25</v>
      </c>
      <c r="C14" s="80">
        <f>+C8</f>
        <v>0.7248</v>
      </c>
      <c r="D14" s="80">
        <f>+D8</f>
        <v>0.71799999999999997</v>
      </c>
      <c r="E14" s="30" t="s">
        <v>83</v>
      </c>
      <c r="F14" s="100" t="s">
        <v>1382</v>
      </c>
      <c r="G14" s="309">
        <v>0.14399999999999999</v>
      </c>
      <c r="H14" s="507"/>
      <c r="I14" s="183">
        <f t="shared" ref="I14:J14" si="9">+C14*P14</f>
        <v>281.26878720000002</v>
      </c>
      <c r="J14" s="184">
        <f t="shared" si="9"/>
        <v>235.38265799999999</v>
      </c>
      <c r="K14" s="184">
        <f>+I14-J14</f>
        <v>45.886129200000028</v>
      </c>
      <c r="L14" s="67">
        <f>+K14/J14</f>
        <v>0.19494269284698124</v>
      </c>
      <c r="M14" s="199"/>
      <c r="N14" s="199"/>
      <c r="O14" s="58" t="s">
        <v>25</v>
      </c>
      <c r="P14" s="144">
        <f>+S14*U14</f>
        <v>388.06400000000002</v>
      </c>
      <c r="Q14" s="144">
        <f t="shared" ref="Q14:Q16" si="10">+S14*V14</f>
        <v>327.83100000000002</v>
      </c>
      <c r="R14" s="187"/>
      <c r="S14" s="80">
        <v>6.7</v>
      </c>
      <c r="T14" s="80"/>
      <c r="U14" s="166">
        <v>57.92</v>
      </c>
      <c r="V14" s="192">
        <v>48.93</v>
      </c>
      <c r="W14" s="192"/>
      <c r="X14" s="192">
        <v>24.76</v>
      </c>
      <c r="Y14" s="192">
        <v>26.62</v>
      </c>
      <c r="Z14" s="192">
        <v>26.04</v>
      </c>
      <c r="AA14" s="192">
        <v>21.19</v>
      </c>
      <c r="AB14" s="192">
        <v>18.440000000000001</v>
      </c>
      <c r="AC14" s="192">
        <v>21.96</v>
      </c>
      <c r="AD14" s="192">
        <v>21.9</v>
      </c>
      <c r="AE14" s="192">
        <v>22.21</v>
      </c>
      <c r="AF14" s="192">
        <v>19.399999999999999</v>
      </c>
      <c r="AG14" s="192">
        <v>18.14</v>
      </c>
      <c r="AH14" s="192">
        <v>24.1</v>
      </c>
      <c r="AI14" s="192">
        <v>17.41</v>
      </c>
      <c r="AJ14" s="192">
        <v>15.57</v>
      </c>
      <c r="AK14" s="192">
        <v>17.03</v>
      </c>
      <c r="AL14" s="192">
        <v>15.01</v>
      </c>
      <c r="AM14" s="192">
        <v>15</v>
      </c>
      <c r="AN14" s="147"/>
      <c r="AO14" s="280" t="s">
        <v>79</v>
      </c>
      <c r="AP14" s="95"/>
      <c r="AQ14" s="58"/>
      <c r="AR14" s="105"/>
      <c r="AS14" s="105"/>
      <c r="AT14" s="356" t="s">
        <v>2360</v>
      </c>
      <c r="AU14" s="325"/>
      <c r="AW14" s="211"/>
    </row>
    <row r="15" spans="2:49">
      <c r="B15" s="80" t="s">
        <v>20</v>
      </c>
      <c r="C15" s="80">
        <v>1</v>
      </c>
      <c r="D15" s="80">
        <v>1</v>
      </c>
      <c r="E15" s="30" t="s">
        <v>1731</v>
      </c>
      <c r="F15" s="60" t="s">
        <v>1626</v>
      </c>
      <c r="G15" s="295"/>
      <c r="H15" s="69"/>
      <c r="I15" s="74">
        <f t="shared" ref="I15:J15" si="11">+C15*P15</f>
        <v>202.62639999999999</v>
      </c>
      <c r="J15" s="75">
        <f t="shared" si="11"/>
        <v>125.74755999999998</v>
      </c>
      <c r="K15" s="75">
        <f>+I15-J15</f>
        <v>76.878840000000011</v>
      </c>
      <c r="L15" s="67">
        <f>+K15/J15</f>
        <v>0.61137440758293859</v>
      </c>
      <c r="M15" s="107"/>
      <c r="N15" s="107"/>
      <c r="O15" s="58" t="s">
        <v>20</v>
      </c>
      <c r="P15" s="144">
        <f>+S15*U15</f>
        <v>202.62639999999999</v>
      </c>
      <c r="Q15" s="144">
        <f t="shared" si="10"/>
        <v>125.74755999999998</v>
      </c>
      <c r="R15" s="86"/>
      <c r="S15" s="88">
        <v>14.898999999999999</v>
      </c>
      <c r="T15" s="80"/>
      <c r="U15" s="166">
        <v>13.6</v>
      </c>
      <c r="V15" s="192">
        <v>8.44</v>
      </c>
      <c r="W15" s="192"/>
      <c r="X15" s="192">
        <v>8.2200000000000006</v>
      </c>
      <c r="Y15" s="192">
        <v>9.4</v>
      </c>
      <c r="Z15" s="192">
        <v>12.77</v>
      </c>
      <c r="AA15" s="192">
        <v>12.77</v>
      </c>
      <c r="AB15" s="147">
        <v>140.93</v>
      </c>
      <c r="AC15" s="192">
        <v>131.85</v>
      </c>
      <c r="AD15" s="192">
        <v>120.97</v>
      </c>
      <c r="AE15" s="192">
        <v>88.73</v>
      </c>
      <c r="AF15" s="192">
        <v>97.73</v>
      </c>
      <c r="AG15" s="192">
        <v>109.35</v>
      </c>
      <c r="AH15" s="204">
        <v>2793</v>
      </c>
      <c r="AI15" s="204">
        <v>2893.59</v>
      </c>
      <c r="AJ15" s="204">
        <v>2665</v>
      </c>
      <c r="AK15" s="204">
        <v>2506</v>
      </c>
      <c r="AL15" s="204">
        <v>2069</v>
      </c>
      <c r="AM15" s="204">
        <v>1752</v>
      </c>
      <c r="AN15" s="148">
        <v>1469</v>
      </c>
      <c r="AO15" s="110"/>
      <c r="AP15" s="164"/>
      <c r="AR15" s="136"/>
      <c r="AS15" s="105"/>
      <c r="AT15" s="356" t="s">
        <v>2392</v>
      </c>
      <c r="AU15" t="s">
        <v>1980</v>
      </c>
    </row>
    <row r="16" spans="2:49">
      <c r="B16" s="80" t="s">
        <v>20</v>
      </c>
      <c r="C16" s="80">
        <v>1</v>
      </c>
      <c r="D16" s="80">
        <v>1</v>
      </c>
      <c r="E16" s="30" t="s">
        <v>30</v>
      </c>
      <c r="F16" s="60" t="s">
        <v>6</v>
      </c>
      <c r="G16" s="65">
        <v>0.1</v>
      </c>
      <c r="H16" s="69"/>
      <c r="I16" s="74">
        <f>+C16*P16</f>
        <v>146.67522</v>
      </c>
      <c r="J16" s="75">
        <f>+D16*Q16</f>
        <v>144.27725999999998</v>
      </c>
      <c r="K16" s="75">
        <f>+I16-J16</f>
        <v>2.3979600000000119</v>
      </c>
      <c r="L16" s="67">
        <f>+K16/J16</f>
        <v>1.6620498614958533E-2</v>
      </c>
      <c r="M16" s="107"/>
      <c r="N16" s="107"/>
      <c r="O16" s="58" t="s">
        <v>20</v>
      </c>
      <c r="P16" s="144">
        <f>+S16*U16</f>
        <v>146.67522</v>
      </c>
      <c r="Q16" s="144">
        <f t="shared" si="10"/>
        <v>144.27725999999998</v>
      </c>
      <c r="R16" s="86"/>
      <c r="S16" s="88">
        <v>13.321999999999999</v>
      </c>
      <c r="T16" s="88"/>
      <c r="U16" s="166">
        <v>11.01</v>
      </c>
      <c r="V16" s="192">
        <v>10.83</v>
      </c>
      <c r="W16" s="192"/>
      <c r="X16" s="192">
        <v>8.68</v>
      </c>
      <c r="Y16" s="192">
        <v>9.99</v>
      </c>
      <c r="Z16" s="192">
        <v>11.05</v>
      </c>
      <c r="AA16" s="192">
        <v>9.7200000000000006</v>
      </c>
      <c r="AB16" s="192">
        <v>12.38</v>
      </c>
      <c r="AC16" s="192">
        <v>14.74</v>
      </c>
      <c r="AD16" s="192">
        <v>16.329999999999998</v>
      </c>
      <c r="AE16" s="192">
        <v>15.73</v>
      </c>
      <c r="AF16" s="192">
        <v>15.48</v>
      </c>
      <c r="AG16" s="192">
        <v>18.940000000000001</v>
      </c>
      <c r="AH16" s="192">
        <v>24.39</v>
      </c>
      <c r="AI16" s="192">
        <v>23.88</v>
      </c>
      <c r="AJ16" s="192">
        <v>20.92</v>
      </c>
      <c r="AK16" s="192">
        <v>20.47</v>
      </c>
      <c r="AL16" s="192">
        <v>20.21</v>
      </c>
      <c r="AM16" s="192">
        <v>17.89</v>
      </c>
      <c r="AN16" s="147">
        <v>14.52</v>
      </c>
      <c r="AO16" s="110">
        <v>15.22</v>
      </c>
      <c r="AP16" s="164">
        <v>13.42</v>
      </c>
      <c r="AR16" s="136">
        <v>22.3</v>
      </c>
      <c r="AS16" s="105">
        <f>+AR16*S16*C16</f>
        <v>297.0806</v>
      </c>
      <c r="AT16" s="356" t="s">
        <v>2392</v>
      </c>
    </row>
    <row r="17" spans="2:49">
      <c r="B17" s="90"/>
      <c r="C17" s="90"/>
      <c r="D17" s="90"/>
      <c r="E17" s="222" t="s">
        <v>833</v>
      </c>
      <c r="F17" s="23"/>
      <c r="G17" s="83"/>
      <c r="H17" s="56"/>
      <c r="I17" s="77">
        <f>SUM(I8:I16)</f>
        <v>3342.8406230400001</v>
      </c>
      <c r="J17" s="77">
        <f>SUM(J8:J16)</f>
        <v>3060.2714869399992</v>
      </c>
      <c r="K17" s="78">
        <f t="shared" ref="K17" si="12">+I17-J17</f>
        <v>282.56913610000083</v>
      </c>
      <c r="L17" s="68">
        <f t="shared" ref="L17" si="13">+K17/J17</f>
        <v>9.2334662890495703E-2</v>
      </c>
      <c r="M17" s="108"/>
      <c r="N17" s="108"/>
      <c r="O17" s="19"/>
      <c r="P17" s="161"/>
      <c r="Q17" s="161"/>
      <c r="R17" s="87"/>
      <c r="S17" s="90"/>
      <c r="T17" s="90"/>
      <c r="U17" s="223"/>
      <c r="V17" s="223"/>
      <c r="W17" s="204"/>
      <c r="X17" s="223"/>
      <c r="Y17" s="223"/>
      <c r="Z17" s="223"/>
      <c r="AA17" s="223"/>
      <c r="AB17" s="223"/>
      <c r="AC17" s="223"/>
      <c r="AD17" s="223"/>
      <c r="AE17" s="223"/>
      <c r="AF17" s="223"/>
      <c r="AG17" s="223"/>
      <c r="AH17" s="223"/>
      <c r="AI17" s="223"/>
      <c r="AJ17" s="223"/>
      <c r="AK17" s="223"/>
      <c r="AL17" s="223"/>
      <c r="AM17" s="223"/>
      <c r="AN17" s="224"/>
      <c r="AO17" s="111"/>
      <c r="AP17" s="195"/>
      <c r="AR17" s="140"/>
      <c r="AS17" s="284"/>
      <c r="AT17" s="56"/>
    </row>
    <row r="18" spans="2:49">
      <c r="B18" s="80"/>
      <c r="D18" s="84"/>
      <c r="F18" s="60"/>
      <c r="G18" s="215"/>
      <c r="H18" s="69"/>
      <c r="I18" s="183"/>
      <c r="J18" s="184"/>
      <c r="K18" s="184"/>
      <c r="L18" s="219"/>
      <c r="M18" s="199"/>
      <c r="N18" s="199"/>
      <c r="O18" s="80"/>
      <c r="P18" s="144"/>
      <c r="Q18" s="144"/>
      <c r="R18" s="200"/>
      <c r="S18" s="80"/>
      <c r="T18" s="80"/>
      <c r="U18" s="204"/>
      <c r="V18" s="204"/>
      <c r="W18" s="204"/>
      <c r="X18" s="204"/>
      <c r="Y18" s="204"/>
      <c r="Z18" s="204"/>
      <c r="AA18" s="204"/>
      <c r="AB18" s="204"/>
      <c r="AC18" s="204"/>
      <c r="AD18" s="204"/>
      <c r="AE18" s="204"/>
      <c r="AF18" s="204"/>
      <c r="AG18" s="204"/>
      <c r="AH18" s="204"/>
      <c r="AI18" s="204"/>
      <c r="AJ18" s="204"/>
      <c r="AK18" s="204"/>
      <c r="AL18" s="204"/>
      <c r="AM18" s="204"/>
      <c r="AN18" s="148"/>
      <c r="AO18" s="110"/>
      <c r="AP18" s="216"/>
      <c r="AR18" s="136"/>
      <c r="AS18" s="137"/>
    </row>
    <row r="19" spans="2:49">
      <c r="B19" s="159"/>
      <c r="C19" s="15"/>
      <c r="D19" s="159"/>
      <c r="E19" s="508" t="s">
        <v>830</v>
      </c>
      <c r="F19" s="225"/>
      <c r="G19" s="226"/>
      <c r="H19" s="116"/>
      <c r="I19" s="196"/>
      <c r="J19" s="197"/>
      <c r="K19" s="197"/>
      <c r="L19" s="227"/>
      <c r="M19" s="228"/>
      <c r="N19" s="228"/>
      <c r="O19" s="14"/>
      <c r="P19" s="160"/>
      <c r="Q19" s="160"/>
      <c r="R19" s="198"/>
      <c r="S19" s="159"/>
      <c r="T19" s="159"/>
      <c r="U19" s="230"/>
      <c r="V19" s="230"/>
      <c r="W19" s="204"/>
      <c r="X19" s="230"/>
      <c r="Y19" s="230"/>
      <c r="Z19" s="230"/>
      <c r="AA19" s="230"/>
      <c r="AB19" s="231"/>
      <c r="AC19" s="230"/>
      <c r="AD19" s="230"/>
      <c r="AE19" s="230"/>
      <c r="AF19" s="230"/>
      <c r="AG19" s="230"/>
      <c r="AH19" s="230"/>
      <c r="AI19" s="230"/>
      <c r="AJ19" s="230"/>
      <c r="AK19" s="230"/>
      <c r="AL19" s="230"/>
      <c r="AM19" s="230"/>
      <c r="AN19" s="231"/>
      <c r="AO19" s="113"/>
      <c r="AP19" s="312"/>
      <c r="AQ19" s="58"/>
      <c r="AR19" s="257"/>
      <c r="AS19" s="257"/>
      <c r="AT19" s="18"/>
    </row>
    <row r="20" spans="2:49" ht="6" customHeight="1">
      <c r="B20" s="58"/>
      <c r="AA20" s="84"/>
    </row>
    <row r="21" spans="2:49">
      <c r="B21" s="80" t="s">
        <v>20</v>
      </c>
      <c r="C21" s="80">
        <v>1</v>
      </c>
      <c r="D21" s="80">
        <v>1</v>
      </c>
      <c r="E21" s="30" t="s">
        <v>29</v>
      </c>
      <c r="F21" s="60" t="s">
        <v>1599</v>
      </c>
      <c r="G21" s="65">
        <v>0.08</v>
      </c>
      <c r="H21" s="69"/>
      <c r="I21" s="74">
        <f>+C21*P21</f>
        <v>232.20000000000002</v>
      </c>
      <c r="J21" s="75">
        <f>+D21*Q21</f>
        <v>83.978999999999999</v>
      </c>
      <c r="K21" s="75">
        <f t="shared" ref="K21" si="14">+I21-J21</f>
        <v>148.221</v>
      </c>
      <c r="L21" s="67">
        <f t="shared" ref="L21" si="15">+K21/J21</f>
        <v>1.7649769585253456</v>
      </c>
      <c r="M21" s="107"/>
      <c r="N21" s="107"/>
      <c r="O21" s="58" t="s">
        <v>20</v>
      </c>
      <c r="P21" s="144">
        <f>+S21*U21</f>
        <v>232.20000000000002</v>
      </c>
      <c r="Q21" s="144">
        <f>+S21*V21</f>
        <v>83.978999999999999</v>
      </c>
      <c r="R21" s="86"/>
      <c r="S21" s="1824">
        <v>25.8</v>
      </c>
      <c r="T21" s="80"/>
      <c r="U21" s="166">
        <v>9</v>
      </c>
      <c r="V21" s="192">
        <v>3.2549999999999999</v>
      </c>
      <c r="W21" s="192"/>
      <c r="X21" s="192">
        <v>3.77</v>
      </c>
      <c r="Y21" s="192">
        <v>3.78</v>
      </c>
      <c r="Z21" s="192">
        <v>2.62</v>
      </c>
      <c r="AA21" s="192">
        <v>2.48</v>
      </c>
      <c r="AB21" s="192">
        <v>3.54</v>
      </c>
      <c r="AC21" s="192">
        <v>4.71</v>
      </c>
      <c r="AD21" s="192">
        <v>5</v>
      </c>
      <c r="AE21" s="192">
        <v>3.26</v>
      </c>
      <c r="AF21" s="192">
        <v>4.7850000000000001</v>
      </c>
      <c r="AG21" s="192">
        <v>5.39</v>
      </c>
      <c r="AH21" s="192">
        <v>7.46</v>
      </c>
      <c r="AI21" s="192">
        <v>9.35</v>
      </c>
      <c r="AJ21" s="192">
        <v>9.73</v>
      </c>
      <c r="AK21" s="192">
        <v>12.22</v>
      </c>
      <c r="AL21" s="192">
        <v>8.43</v>
      </c>
      <c r="AM21" s="192">
        <v>6.63</v>
      </c>
      <c r="AN21" s="147">
        <v>4.59</v>
      </c>
      <c r="AO21" s="110">
        <v>4.8899999999999997</v>
      </c>
      <c r="AP21" s="164">
        <v>4.13</v>
      </c>
      <c r="AR21" s="136">
        <v>6.42</v>
      </c>
      <c r="AS21" s="105">
        <f>+AR21*S21*C21</f>
        <v>165.636</v>
      </c>
      <c r="AT21" s="356" t="s">
        <v>2392</v>
      </c>
    </row>
    <row r="22" spans="2:49">
      <c r="B22" s="80" t="s">
        <v>20</v>
      </c>
      <c r="C22" s="80">
        <v>1</v>
      </c>
      <c r="D22" s="80">
        <v>1</v>
      </c>
      <c r="E22" s="30" t="s">
        <v>1749</v>
      </c>
      <c r="F22" s="60" t="s">
        <v>1750</v>
      </c>
      <c r="G22" s="65"/>
      <c r="H22" s="69"/>
      <c r="I22" s="74">
        <f t="shared" ref="I22" si="16">+C22*P22</f>
        <v>127.253</v>
      </c>
      <c r="J22" s="75">
        <f t="shared" ref="J22" si="17">+D22*Q22</f>
        <v>119.19699999999999</v>
      </c>
      <c r="K22" s="75">
        <f t="shared" ref="K22" si="18">+I22-J22</f>
        <v>8.0560000000000116</v>
      </c>
      <c r="L22" s="67">
        <f t="shared" ref="L22" si="19">+K22/J22</f>
        <v>6.7585593597154395E-2</v>
      </c>
      <c r="M22" s="107"/>
      <c r="N22" s="107"/>
      <c r="O22" s="58" t="s">
        <v>20</v>
      </c>
      <c r="P22" s="144">
        <f t="shared" ref="P22" si="20">+S22*U22</f>
        <v>127.253</v>
      </c>
      <c r="Q22" s="144">
        <f>+S22*V22</f>
        <v>119.19699999999999</v>
      </c>
      <c r="R22" s="86"/>
      <c r="S22" s="88">
        <v>5.3</v>
      </c>
      <c r="T22" s="80"/>
      <c r="U22" s="166">
        <v>24.01</v>
      </c>
      <c r="V22" s="192">
        <v>22.49</v>
      </c>
      <c r="W22" s="192"/>
      <c r="X22" s="192">
        <v>30.43</v>
      </c>
      <c r="Y22" s="192">
        <v>30.71</v>
      </c>
      <c r="Z22" s="192"/>
      <c r="AA22" s="192"/>
      <c r="AB22" s="192"/>
      <c r="AC22" s="192"/>
      <c r="AD22" s="192"/>
      <c r="AE22" s="192"/>
      <c r="AF22" s="192"/>
      <c r="AG22" s="192"/>
      <c r="AH22" s="192"/>
      <c r="AI22" s="192"/>
      <c r="AJ22" s="192"/>
      <c r="AK22" s="192"/>
      <c r="AL22" s="192"/>
      <c r="AM22" s="192"/>
      <c r="AN22" s="147"/>
      <c r="AO22" s="110"/>
      <c r="AP22" s="164"/>
      <c r="AR22" s="136"/>
      <c r="AS22" s="105"/>
      <c r="AT22" s="356" t="s">
        <v>2392</v>
      </c>
      <c r="AU22">
        <f>4.2/3.5</f>
        <v>1.2</v>
      </c>
    </row>
    <row r="23" spans="2:49">
      <c r="B23" s="80" t="s">
        <v>21</v>
      </c>
      <c r="C23" s="80">
        <f>+C8</f>
        <v>0.7248</v>
      </c>
      <c r="D23" s="80">
        <f>+D8</f>
        <v>0.71799999999999997</v>
      </c>
      <c r="E23" s="30" t="s">
        <v>116</v>
      </c>
      <c r="F23" s="60" t="s">
        <v>117</v>
      </c>
      <c r="G23" s="295">
        <v>0.18190000000000001</v>
      </c>
      <c r="H23" s="69"/>
      <c r="I23" s="74">
        <f>+C23*P23</f>
        <v>110.99913359999999</v>
      </c>
      <c r="J23" s="75">
        <f>+D23*Q23</f>
        <v>95.261726999999979</v>
      </c>
      <c r="K23" s="75">
        <f>+I23-J23</f>
        <v>15.737406600000014</v>
      </c>
      <c r="L23" s="67">
        <f>+K23/J23</f>
        <v>0.16520177720481613</v>
      </c>
      <c r="M23" s="107"/>
      <c r="N23" s="107"/>
      <c r="O23" s="58" t="s">
        <v>21</v>
      </c>
      <c r="P23" s="144">
        <f>+S23*U23</f>
        <v>153.14449999999999</v>
      </c>
      <c r="Q23" s="144">
        <f>+S23*V23</f>
        <v>132.67649999999998</v>
      </c>
      <c r="R23" s="86"/>
      <c r="S23" s="88">
        <v>36.549999999999997</v>
      </c>
      <c r="T23" s="80"/>
      <c r="U23" s="166">
        <v>4.1900000000000004</v>
      </c>
      <c r="V23" s="192">
        <v>3.63</v>
      </c>
      <c r="W23" s="192"/>
      <c r="X23" s="192">
        <v>2.33</v>
      </c>
      <c r="Y23" s="192">
        <v>2.98</v>
      </c>
      <c r="Z23" s="192">
        <v>2.65</v>
      </c>
      <c r="AA23" s="192">
        <v>2.2799999999999998</v>
      </c>
      <c r="AB23" s="147">
        <v>2.17</v>
      </c>
      <c r="AC23" s="192">
        <v>3.26</v>
      </c>
      <c r="AD23" s="192">
        <v>1.89</v>
      </c>
      <c r="AE23" s="192">
        <v>3.41</v>
      </c>
      <c r="AF23" s="192">
        <v>2.3199999999999998</v>
      </c>
      <c r="AG23" s="192">
        <v>3.37</v>
      </c>
      <c r="AH23" s="192">
        <v>3.84</v>
      </c>
      <c r="AI23" s="192">
        <v>3.84</v>
      </c>
      <c r="AJ23" s="192">
        <v>2.5299999999999998</v>
      </c>
      <c r="AK23" s="192">
        <v>0</v>
      </c>
      <c r="AL23" s="192">
        <v>28.17</v>
      </c>
      <c r="AM23" s="192">
        <v>22.73</v>
      </c>
      <c r="AN23" s="147">
        <v>11.36</v>
      </c>
      <c r="AO23" s="110">
        <v>7.65</v>
      </c>
      <c r="AP23" s="164">
        <v>4.13</v>
      </c>
      <c r="AR23" s="136">
        <v>10.91</v>
      </c>
      <c r="AS23" s="105">
        <f>+AR23*S23*C23</f>
        <v>289.02161039999999</v>
      </c>
      <c r="AT23" s="69" t="s">
        <v>1863</v>
      </c>
      <c r="AW23" s="211"/>
    </row>
    <row r="24" spans="2:49">
      <c r="B24" s="80" t="s">
        <v>20</v>
      </c>
      <c r="C24" s="80">
        <v>1</v>
      </c>
      <c r="D24" s="80">
        <v>1</v>
      </c>
      <c r="E24" s="30" t="s">
        <v>1844</v>
      </c>
      <c r="F24" s="60" t="s">
        <v>1845</v>
      </c>
      <c r="G24" s="295"/>
      <c r="H24" s="69"/>
      <c r="I24" s="74">
        <f>+C24*P24</f>
        <v>76.867120000000014</v>
      </c>
      <c r="J24" s="75">
        <f>+D24*Q24</f>
        <v>70.105200000000011</v>
      </c>
      <c r="K24" s="75">
        <f>+I24-J24</f>
        <v>6.7619200000000035</v>
      </c>
      <c r="L24" s="67">
        <f>+K24/J24</f>
        <v>9.6453900709219886E-2</v>
      </c>
      <c r="M24" s="107"/>
      <c r="N24" s="107"/>
      <c r="O24" s="58" t="s">
        <v>20</v>
      </c>
      <c r="P24" s="144">
        <f>+S24*U24</f>
        <v>76.867120000000014</v>
      </c>
      <c r="Q24" s="144">
        <f>+S24*V24</f>
        <v>70.105200000000011</v>
      </c>
      <c r="R24" s="86"/>
      <c r="S24" s="1044">
        <v>2.4860000000000002</v>
      </c>
      <c r="T24" s="80"/>
      <c r="U24" s="166">
        <v>30.92</v>
      </c>
      <c r="V24" s="192">
        <v>28.2</v>
      </c>
      <c r="W24" s="192"/>
      <c r="X24" s="192">
        <v>24.93</v>
      </c>
      <c r="Y24" s="192">
        <v>30.48</v>
      </c>
      <c r="Z24" s="192"/>
      <c r="AA24" s="192"/>
      <c r="AB24" s="147"/>
      <c r="AC24" s="192"/>
      <c r="AD24" s="192"/>
      <c r="AE24" s="192"/>
      <c r="AF24" s="192"/>
      <c r="AG24" s="192"/>
      <c r="AH24" s="204"/>
      <c r="AI24" s="204"/>
      <c r="AJ24" s="204"/>
      <c r="AK24" s="204"/>
      <c r="AL24" s="204"/>
      <c r="AM24" s="204"/>
      <c r="AN24" s="148"/>
      <c r="AO24" s="110"/>
      <c r="AP24" s="164"/>
      <c r="AR24" s="136"/>
      <c r="AS24" s="105"/>
      <c r="AT24" s="356" t="s">
        <v>2392</v>
      </c>
    </row>
    <row r="25" spans="2:49">
      <c r="B25" s="80" t="s">
        <v>20</v>
      </c>
      <c r="C25" s="80">
        <v>1</v>
      </c>
      <c r="D25" s="80">
        <v>1</v>
      </c>
      <c r="E25" s="30" t="s">
        <v>1847</v>
      </c>
      <c r="F25" s="60" t="s">
        <v>1846</v>
      </c>
      <c r="G25" s="295"/>
      <c r="H25" s="69"/>
      <c r="I25" s="74">
        <f t="shared" ref="I25:J33" si="21">+C25*P25</f>
        <v>55.341999999999999</v>
      </c>
      <c r="J25" s="75">
        <f t="shared" si="21"/>
        <v>60.283999999999999</v>
      </c>
      <c r="K25" s="75">
        <f t="shared" ref="K25:K33" si="22">+I25-J25</f>
        <v>-4.9420000000000002</v>
      </c>
      <c r="L25" s="67">
        <f t="shared" ref="L25:L33" si="23">+K25/J25</f>
        <v>-8.1978634463539257E-2</v>
      </c>
      <c r="M25" s="107"/>
      <c r="N25" s="107"/>
      <c r="O25" s="58" t="s">
        <v>20</v>
      </c>
      <c r="P25" s="144">
        <f t="shared" ref="P25:P33" si="24">+S25*U25</f>
        <v>55.341999999999999</v>
      </c>
      <c r="Q25" s="144">
        <f t="shared" ref="Q25:Q33" si="25">+S25*V25</f>
        <v>60.283999999999999</v>
      </c>
      <c r="R25" s="86"/>
      <c r="S25" s="1044">
        <v>1.4</v>
      </c>
      <c r="T25" s="80"/>
      <c r="U25" s="166">
        <v>39.53</v>
      </c>
      <c r="V25" s="192">
        <v>43.06</v>
      </c>
      <c r="W25" s="192"/>
      <c r="X25" s="192">
        <v>60.87</v>
      </c>
      <c r="Y25" s="192">
        <v>57.32</v>
      </c>
      <c r="Z25" s="192"/>
      <c r="AA25" s="192"/>
      <c r="AB25" s="147"/>
      <c r="AC25" s="192"/>
      <c r="AD25" s="192"/>
      <c r="AE25" s="192"/>
      <c r="AF25" s="192"/>
      <c r="AG25" s="192"/>
      <c r="AH25" s="204"/>
      <c r="AI25" s="204"/>
      <c r="AJ25" s="204"/>
      <c r="AK25" s="204"/>
      <c r="AL25" s="204"/>
      <c r="AM25" s="204"/>
      <c r="AN25" s="148"/>
      <c r="AO25" s="110"/>
      <c r="AP25" s="164"/>
      <c r="AR25" s="136"/>
      <c r="AS25" s="105"/>
      <c r="AT25" s="356" t="s">
        <v>2392</v>
      </c>
    </row>
    <row r="26" spans="2:49">
      <c r="B26" s="80" t="s">
        <v>20</v>
      </c>
      <c r="C26" s="80">
        <v>1</v>
      </c>
      <c r="D26" s="80">
        <v>1</v>
      </c>
      <c r="E26" s="30" t="s">
        <v>97</v>
      </c>
      <c r="F26" s="60" t="s">
        <v>88</v>
      </c>
      <c r="G26" s="82"/>
      <c r="H26" s="69"/>
      <c r="I26" s="74">
        <f t="shared" ref="I26:J27" si="26">+C26*P26</f>
        <v>44.788099999999993</v>
      </c>
      <c r="J26" s="75">
        <f t="shared" si="26"/>
        <v>42.299219999999998</v>
      </c>
      <c r="K26" s="75">
        <f>+I26-J26</f>
        <v>2.4888799999999947</v>
      </c>
      <c r="L26" s="67">
        <f>+K26/J26</f>
        <v>5.8839855675825579E-2</v>
      </c>
      <c r="M26" s="107"/>
      <c r="N26" s="107"/>
      <c r="O26" s="58" t="s">
        <v>20</v>
      </c>
      <c r="P26" s="144">
        <f>+S26*U26</f>
        <v>44.788099999999993</v>
      </c>
      <c r="Q26" s="144">
        <f>+S26*V26</f>
        <v>42.299219999999998</v>
      </c>
      <c r="R26" s="86"/>
      <c r="S26" s="146">
        <v>1.1739999999999999</v>
      </c>
      <c r="T26" s="80"/>
      <c r="U26" s="166">
        <v>38.15</v>
      </c>
      <c r="V26" s="192">
        <v>36.03</v>
      </c>
      <c r="W26" s="192"/>
      <c r="X26" s="192">
        <v>26.12</v>
      </c>
      <c r="Y26" s="192">
        <v>32.020000000000003</v>
      </c>
      <c r="Z26" s="192">
        <v>30.42</v>
      </c>
      <c r="AA26" s="192">
        <v>36.14</v>
      </c>
      <c r="AB26" s="147">
        <v>36.22</v>
      </c>
      <c r="AC26" s="192">
        <v>42.16</v>
      </c>
      <c r="AD26" s="192">
        <v>35.450000000000003</v>
      </c>
      <c r="AE26" s="192">
        <v>49.57</v>
      </c>
      <c r="AF26" s="192">
        <v>37.22</v>
      </c>
      <c r="AG26" s="192">
        <v>43.06</v>
      </c>
      <c r="AH26" s="192">
        <v>42.78</v>
      </c>
      <c r="AI26" s="192">
        <v>23.7</v>
      </c>
      <c r="AJ26" s="192">
        <v>27.41</v>
      </c>
      <c r="AK26" s="192">
        <v>32.630000000000003</v>
      </c>
      <c r="AL26" s="192">
        <v>26.96</v>
      </c>
      <c r="AM26" s="192">
        <v>23.16</v>
      </c>
      <c r="AN26" s="147"/>
      <c r="AO26" s="110"/>
      <c r="AP26" s="95"/>
      <c r="AQ26" s="58"/>
      <c r="AR26" s="105"/>
      <c r="AS26" s="105"/>
      <c r="AT26" s="356" t="s">
        <v>2392</v>
      </c>
      <c r="AW26" s="211"/>
    </row>
    <row r="27" spans="2:49">
      <c r="B27" s="80" t="s">
        <v>20</v>
      </c>
      <c r="C27" s="80">
        <v>1</v>
      </c>
      <c r="D27" s="80">
        <v>1</v>
      </c>
      <c r="E27" s="30" t="s">
        <v>98</v>
      </c>
      <c r="F27" s="60" t="s">
        <v>87</v>
      </c>
      <c r="G27" s="82"/>
      <c r="H27" s="69"/>
      <c r="I27" s="74">
        <f t="shared" si="26"/>
        <v>31.295326599999999</v>
      </c>
      <c r="J27" s="75">
        <f t="shared" si="26"/>
        <v>28.01315215</v>
      </c>
      <c r="K27" s="75">
        <f>+I27-J27</f>
        <v>3.2821744499999994</v>
      </c>
      <c r="L27" s="67">
        <f>+K27/J27</f>
        <v>0.11716548114347065</v>
      </c>
      <c r="M27" s="107"/>
      <c r="N27" s="107"/>
      <c r="O27" s="58" t="s">
        <v>20</v>
      </c>
      <c r="P27" s="144">
        <f>+S27*U27</f>
        <v>31.295326599999999</v>
      </c>
      <c r="Q27" s="144">
        <f>+S27*V27</f>
        <v>28.01315215</v>
      </c>
      <c r="R27" s="86"/>
      <c r="S27" s="146">
        <v>0.37596499999999999</v>
      </c>
      <c r="T27" s="80"/>
      <c r="U27" s="166">
        <v>83.24</v>
      </c>
      <c r="V27" s="192">
        <v>74.510000000000005</v>
      </c>
      <c r="W27" s="192"/>
      <c r="X27" s="192">
        <v>47.03</v>
      </c>
      <c r="Y27" s="192">
        <v>53.27</v>
      </c>
      <c r="Z27" s="192">
        <v>44.84</v>
      </c>
      <c r="AA27" s="192">
        <v>46.46</v>
      </c>
      <c r="AB27" s="147">
        <v>35.92</v>
      </c>
      <c r="AC27" s="192">
        <v>32.97</v>
      </c>
      <c r="AD27" s="192">
        <v>38.56</v>
      </c>
      <c r="AE27" s="192">
        <v>33.64</v>
      </c>
      <c r="AF27" s="192">
        <v>32.75</v>
      </c>
      <c r="AG27" s="192">
        <v>31.76</v>
      </c>
      <c r="AH27" s="192">
        <v>43.74</v>
      </c>
      <c r="AI27" s="192">
        <v>58.63</v>
      </c>
      <c r="AJ27" s="192">
        <v>52.71</v>
      </c>
      <c r="AK27" s="192">
        <v>59.17</v>
      </c>
      <c r="AL27" s="192">
        <v>57.46</v>
      </c>
      <c r="AM27" s="192">
        <v>41.64</v>
      </c>
      <c r="AN27" s="147"/>
      <c r="AO27" s="110"/>
      <c r="AP27" s="95"/>
      <c r="AQ27" s="58"/>
      <c r="AR27" s="105"/>
      <c r="AS27" s="105"/>
      <c r="AT27" s="356" t="s">
        <v>2392</v>
      </c>
      <c r="AW27" s="211"/>
    </row>
    <row r="28" spans="2:49">
      <c r="B28" s="80" t="s">
        <v>20</v>
      </c>
      <c r="C28" s="80">
        <v>1</v>
      </c>
      <c r="D28" s="80">
        <v>1</v>
      </c>
      <c r="E28" s="30" t="s">
        <v>93</v>
      </c>
      <c r="F28" s="60" t="s">
        <v>92</v>
      </c>
      <c r="G28" s="82"/>
      <c r="H28" s="69"/>
      <c r="I28" s="74">
        <f t="shared" ref="I28:J28" si="27">+C28*P28</f>
        <v>39.208765</v>
      </c>
      <c r="J28" s="75">
        <f t="shared" si="27"/>
        <v>31.666851999999999</v>
      </c>
      <c r="K28" s="75">
        <f>+I28-J28</f>
        <v>7.541913000000001</v>
      </c>
      <c r="L28" s="67">
        <f>+K28/J28</f>
        <v>0.23816427979642565</v>
      </c>
      <c r="M28" s="107"/>
      <c r="N28" s="107"/>
      <c r="O28" s="58" t="s">
        <v>20</v>
      </c>
      <c r="P28" s="144">
        <f>+S28*U28</f>
        <v>39.208765</v>
      </c>
      <c r="Q28" s="144">
        <f t="shared" si="25"/>
        <v>31.666851999999999</v>
      </c>
      <c r="R28" s="86"/>
      <c r="S28" s="146">
        <v>9.3700000000000006E-2</v>
      </c>
      <c r="T28" s="80"/>
      <c r="U28" s="166">
        <v>418.45</v>
      </c>
      <c r="V28" s="192">
        <v>337.96</v>
      </c>
      <c r="W28" s="192"/>
      <c r="X28" s="192">
        <v>166</v>
      </c>
      <c r="Y28" s="192">
        <v>197.49</v>
      </c>
      <c r="Z28" s="192">
        <v>173.67</v>
      </c>
      <c r="AA28" s="192">
        <v>173.81</v>
      </c>
      <c r="AB28" s="147">
        <v>104</v>
      </c>
      <c r="AC28" s="192">
        <v>86.9</v>
      </c>
      <c r="AD28" s="192">
        <v>100.92</v>
      </c>
      <c r="AE28" s="192">
        <v>74.489999999999995</v>
      </c>
      <c r="AF28" s="192">
        <v>68.95</v>
      </c>
      <c r="AG28" s="192">
        <v>81.75</v>
      </c>
      <c r="AH28" s="192">
        <v>104.26</v>
      </c>
      <c r="AI28" s="192">
        <v>120.31</v>
      </c>
      <c r="AJ28" s="192">
        <v>111.65</v>
      </c>
      <c r="AK28" s="192">
        <v>120.16</v>
      </c>
      <c r="AL28" s="192">
        <v>118.28</v>
      </c>
      <c r="AM28" s="192">
        <v>109.04</v>
      </c>
      <c r="AN28" s="147"/>
      <c r="AO28" s="110"/>
      <c r="AP28" s="95"/>
      <c r="AQ28" s="58"/>
      <c r="AR28" s="105"/>
      <c r="AS28" s="105"/>
      <c r="AT28" s="356" t="s">
        <v>2392</v>
      </c>
      <c r="AW28" s="211"/>
    </row>
    <row r="29" spans="2:49">
      <c r="B29" s="80" t="s">
        <v>20</v>
      </c>
      <c r="C29" s="80">
        <v>1</v>
      </c>
      <c r="D29" s="80">
        <v>1</v>
      </c>
      <c r="E29" s="30" t="s">
        <v>84</v>
      </c>
      <c r="F29" s="60" t="s">
        <v>85</v>
      </c>
      <c r="G29" s="82"/>
      <c r="H29" s="69"/>
      <c r="I29" s="74">
        <f t="shared" si="21"/>
        <v>28.745954999999999</v>
      </c>
      <c r="J29" s="75">
        <f t="shared" si="21"/>
        <v>24.892811999999996</v>
      </c>
      <c r="K29" s="75">
        <f t="shared" si="22"/>
        <v>3.8531430000000029</v>
      </c>
      <c r="L29" s="67">
        <f t="shared" si="23"/>
        <v>0.15478938257357197</v>
      </c>
      <c r="M29" s="107"/>
      <c r="N29" s="107"/>
      <c r="O29" s="58" t="s">
        <v>20</v>
      </c>
      <c r="P29" s="144">
        <f t="shared" si="24"/>
        <v>28.745954999999999</v>
      </c>
      <c r="Q29" s="144">
        <f t="shared" si="25"/>
        <v>24.892811999999996</v>
      </c>
      <c r="R29" s="86"/>
      <c r="S29" s="146">
        <v>0.35909999999999997</v>
      </c>
      <c r="T29" s="80"/>
      <c r="U29" s="166">
        <v>80.05</v>
      </c>
      <c r="V29" s="192">
        <v>69.319999999999993</v>
      </c>
      <c r="W29" s="192"/>
      <c r="X29" s="192">
        <v>47.43</v>
      </c>
      <c r="Y29" s="192">
        <v>53.72</v>
      </c>
      <c r="Z29" s="192">
        <v>54.49</v>
      </c>
      <c r="AA29" s="192">
        <v>45.72</v>
      </c>
      <c r="AB29" s="147">
        <v>48.69</v>
      </c>
      <c r="AC29" s="192">
        <v>45.59</v>
      </c>
      <c r="AD29" s="192">
        <v>50.04</v>
      </c>
      <c r="AE29" s="192">
        <v>48.98</v>
      </c>
      <c r="AF29" s="192">
        <v>47.83</v>
      </c>
      <c r="AG29" s="192">
        <v>59.21</v>
      </c>
      <c r="AH29" s="192">
        <v>71.72</v>
      </c>
      <c r="AI29" s="192">
        <v>71.69</v>
      </c>
      <c r="AJ29" s="192">
        <v>61.53</v>
      </c>
      <c r="AK29" s="192">
        <v>65.069999999999993</v>
      </c>
      <c r="AL29" s="192">
        <v>62.55</v>
      </c>
      <c r="AM29" s="192">
        <v>54.04</v>
      </c>
      <c r="AN29" s="147"/>
      <c r="AO29" s="110"/>
      <c r="AP29" s="95"/>
      <c r="AQ29" s="58"/>
      <c r="AR29" s="105"/>
      <c r="AS29" s="105"/>
      <c r="AT29" s="356" t="s">
        <v>2392</v>
      </c>
      <c r="AW29" s="211"/>
    </row>
    <row r="30" spans="2:49">
      <c r="B30" s="80" t="s">
        <v>20</v>
      </c>
      <c r="C30" s="80">
        <v>1</v>
      </c>
      <c r="D30" s="80">
        <v>1</v>
      </c>
      <c r="E30" s="30" t="s">
        <v>94</v>
      </c>
      <c r="F30" s="60" t="s">
        <v>91</v>
      </c>
      <c r="G30" s="82"/>
      <c r="H30" s="69"/>
      <c r="I30" s="74">
        <f>+C30*P30</f>
        <v>25.944379999999999</v>
      </c>
      <c r="J30" s="75">
        <f>+D30*Q30</f>
        <v>27.76782</v>
      </c>
      <c r="K30" s="75">
        <f>+I30-J30</f>
        <v>-1.8234400000000015</v>
      </c>
      <c r="L30" s="67">
        <f>+K30/J30</f>
        <v>-6.5667380442541098E-2</v>
      </c>
      <c r="M30" s="107"/>
      <c r="N30" s="107"/>
      <c r="O30" s="58" t="s">
        <v>20</v>
      </c>
      <c r="P30" s="144">
        <f>+S30*U30</f>
        <v>25.944379999999999</v>
      </c>
      <c r="Q30" s="144">
        <f t="shared" si="25"/>
        <v>27.76782</v>
      </c>
      <c r="R30" s="86"/>
      <c r="S30" s="146">
        <v>0.99099999999999999</v>
      </c>
      <c r="T30" s="80"/>
      <c r="U30" s="166">
        <v>26.18</v>
      </c>
      <c r="V30" s="192">
        <v>28.02</v>
      </c>
      <c r="W30" s="192"/>
      <c r="X30" s="192">
        <v>25.34</v>
      </c>
      <c r="Y30" s="192">
        <v>26.53</v>
      </c>
      <c r="Z30" s="192">
        <v>28.94</v>
      </c>
      <c r="AA30" s="192">
        <v>27.98</v>
      </c>
      <c r="AB30" s="147">
        <v>28.79</v>
      </c>
      <c r="AC30" s="192">
        <v>33.17</v>
      </c>
      <c r="AD30" s="192">
        <v>36.68</v>
      </c>
      <c r="AE30" s="192">
        <v>51.24</v>
      </c>
      <c r="AF30" s="192">
        <v>44.34</v>
      </c>
      <c r="AG30" s="192">
        <v>52.43</v>
      </c>
      <c r="AH30" s="192">
        <v>51.77</v>
      </c>
      <c r="AI30" s="192">
        <v>59.05</v>
      </c>
      <c r="AJ30" s="192">
        <v>43.01</v>
      </c>
      <c r="AK30" s="192">
        <v>39.159999999999997</v>
      </c>
      <c r="AL30" s="192">
        <v>36.229999999999997</v>
      </c>
      <c r="AM30" s="192">
        <v>36.81</v>
      </c>
      <c r="AN30" s="147"/>
      <c r="AO30" s="110"/>
      <c r="AP30" s="95"/>
      <c r="AQ30" s="58"/>
      <c r="AR30" s="105"/>
      <c r="AS30" s="105"/>
      <c r="AT30" s="356" t="s">
        <v>2392</v>
      </c>
      <c r="AW30" s="211"/>
    </row>
    <row r="31" spans="2:49">
      <c r="B31" s="80" t="s">
        <v>20</v>
      </c>
      <c r="C31" s="80">
        <v>1</v>
      </c>
      <c r="D31" s="80">
        <v>1</v>
      </c>
      <c r="E31" s="30" t="s">
        <v>2397</v>
      </c>
      <c r="F31" s="60" t="s">
        <v>2398</v>
      </c>
      <c r="G31" s="82"/>
      <c r="H31" s="69"/>
      <c r="I31" s="74">
        <f>+C31*P31</f>
        <v>25.41</v>
      </c>
      <c r="J31" s="75">
        <f>+D31*Q31</f>
        <v>22.934999999999999</v>
      </c>
      <c r="K31" s="75">
        <f>+I31-J31</f>
        <v>2.4750000000000014</v>
      </c>
      <c r="L31" s="67">
        <f>+K31/J31</f>
        <v>0.10791366906474827</v>
      </c>
      <c r="M31" s="107"/>
      <c r="N31" s="107"/>
      <c r="O31" s="58" t="s">
        <v>20</v>
      </c>
      <c r="P31" s="144">
        <f>+S31*U31</f>
        <v>25.41</v>
      </c>
      <c r="Q31" s="144">
        <f t="shared" ref="Q31" si="28">+S31*V31</f>
        <v>22.934999999999999</v>
      </c>
      <c r="R31" s="86"/>
      <c r="S31" s="146">
        <v>3.3</v>
      </c>
      <c r="T31" s="80"/>
      <c r="U31" s="166">
        <v>7.7</v>
      </c>
      <c r="V31" s="192">
        <v>6.95</v>
      </c>
      <c r="W31" s="192"/>
      <c r="X31" s="192">
        <v>25.34</v>
      </c>
      <c r="Y31" s="192">
        <v>26.53</v>
      </c>
      <c r="Z31" s="192">
        <v>28.94</v>
      </c>
      <c r="AA31" s="192">
        <v>27.98</v>
      </c>
      <c r="AB31" s="147">
        <v>28.79</v>
      </c>
      <c r="AC31" s="192">
        <v>33.17</v>
      </c>
      <c r="AD31" s="192">
        <v>36.68</v>
      </c>
      <c r="AE31" s="192">
        <v>51.24</v>
      </c>
      <c r="AF31" s="192">
        <v>44.34</v>
      </c>
      <c r="AG31" s="192">
        <v>52.43</v>
      </c>
      <c r="AH31" s="192">
        <v>51.77</v>
      </c>
      <c r="AI31" s="192">
        <v>59.05</v>
      </c>
      <c r="AJ31" s="192">
        <v>43.01</v>
      </c>
      <c r="AK31" s="192">
        <v>39.159999999999997</v>
      </c>
      <c r="AL31" s="192">
        <v>36.229999999999997</v>
      </c>
      <c r="AM31" s="192">
        <v>36.81</v>
      </c>
      <c r="AN31" s="147"/>
      <c r="AO31" s="110"/>
      <c r="AP31" s="95"/>
      <c r="AQ31" s="58"/>
      <c r="AR31" s="105"/>
      <c r="AS31" s="105"/>
      <c r="AT31" s="356" t="s">
        <v>2392</v>
      </c>
      <c r="AW31" s="211"/>
    </row>
    <row r="32" spans="2:49">
      <c r="B32" s="80" t="s">
        <v>20</v>
      </c>
      <c r="C32" s="80">
        <v>1</v>
      </c>
      <c r="D32" s="80">
        <v>1</v>
      </c>
      <c r="E32" s="30" t="s">
        <v>95</v>
      </c>
      <c r="F32" s="60" t="s">
        <v>90</v>
      </c>
      <c r="G32" s="82"/>
      <c r="H32" s="69"/>
      <c r="I32" s="74">
        <f t="shared" ref="I32:J32" si="29">+C32*P32</f>
        <v>20.526688</v>
      </c>
      <c r="J32" s="75">
        <f t="shared" si="29"/>
        <v>20.801599</v>
      </c>
      <c r="K32" s="75">
        <f t="shared" ref="K32" si="30">+I32-J32</f>
        <v>-0.27491099999999946</v>
      </c>
      <c r="L32" s="67">
        <f t="shared" ref="L32" si="31">+K32/J32</f>
        <v>-1.3215859030836979E-2</v>
      </c>
      <c r="M32" s="107"/>
      <c r="N32" s="107"/>
      <c r="O32" s="58" t="s">
        <v>20</v>
      </c>
      <c r="P32" s="144">
        <f>+S32*U32</f>
        <v>20.526688</v>
      </c>
      <c r="Q32" s="144">
        <f t="shared" si="25"/>
        <v>20.801599</v>
      </c>
      <c r="R32" s="86"/>
      <c r="S32" s="146">
        <v>0.1729</v>
      </c>
      <c r="T32" s="80"/>
      <c r="U32" s="166">
        <v>118.72</v>
      </c>
      <c r="V32" s="192">
        <v>120.31</v>
      </c>
      <c r="W32" s="192"/>
      <c r="X32" s="192">
        <v>89.76</v>
      </c>
      <c r="Y32" s="192">
        <v>99.48</v>
      </c>
      <c r="Z32" s="192">
        <v>113.56</v>
      </c>
      <c r="AA32" s="192">
        <v>123.08</v>
      </c>
      <c r="AB32" s="147">
        <v>109.02</v>
      </c>
      <c r="AC32" s="192">
        <v>102.95</v>
      </c>
      <c r="AD32" s="192">
        <v>115.39</v>
      </c>
      <c r="AE32" s="192">
        <v>110.95</v>
      </c>
      <c r="AF32" s="192">
        <v>86.82</v>
      </c>
      <c r="AG32" s="192">
        <v>91.17</v>
      </c>
      <c r="AH32" s="192">
        <v>82.05</v>
      </c>
      <c r="AI32" s="192">
        <v>76.64</v>
      </c>
      <c r="AJ32" s="192">
        <v>75.11</v>
      </c>
      <c r="AK32" s="192">
        <v>77.77</v>
      </c>
      <c r="AL32" s="192">
        <v>77.09</v>
      </c>
      <c r="AM32" s="192">
        <v>81.8</v>
      </c>
      <c r="AN32" s="147"/>
      <c r="AO32" s="110"/>
      <c r="AP32" s="95"/>
      <c r="AQ32" s="58"/>
      <c r="AR32" s="105"/>
      <c r="AS32" s="105"/>
      <c r="AT32" s="356" t="s">
        <v>2392</v>
      </c>
    </row>
    <row r="33" spans="2:50">
      <c r="B33" s="80" t="s">
        <v>20</v>
      </c>
      <c r="C33" s="80">
        <v>1</v>
      </c>
      <c r="D33" s="80">
        <v>1</v>
      </c>
      <c r="E33" s="30" t="s">
        <v>96</v>
      </c>
      <c r="F33" s="60" t="s">
        <v>89</v>
      </c>
      <c r="G33" s="82"/>
      <c r="H33" s="69"/>
      <c r="I33" s="74">
        <f t="shared" si="21"/>
        <v>16.539222000000002</v>
      </c>
      <c r="J33" s="75">
        <f t="shared" si="21"/>
        <v>17.944098</v>
      </c>
      <c r="K33" s="75">
        <f t="shared" si="22"/>
        <v>-1.404875999999998</v>
      </c>
      <c r="L33" s="67">
        <f t="shared" si="23"/>
        <v>-7.8291814946619104E-2</v>
      </c>
      <c r="M33" s="107"/>
      <c r="N33" s="107"/>
      <c r="O33" s="58" t="s">
        <v>20</v>
      </c>
      <c r="P33" s="144">
        <f t="shared" si="24"/>
        <v>16.539222000000002</v>
      </c>
      <c r="Q33" s="144">
        <f t="shared" si="25"/>
        <v>17.944098</v>
      </c>
      <c r="R33" s="86"/>
      <c r="S33" s="146">
        <v>7.3400000000000007E-2</v>
      </c>
      <c r="T33" s="80"/>
      <c r="U33" s="166">
        <v>225.33</v>
      </c>
      <c r="V33" s="192">
        <v>244.47</v>
      </c>
      <c r="W33" s="192"/>
      <c r="X33" s="192">
        <v>165.84</v>
      </c>
      <c r="Y33" s="192">
        <v>144.62</v>
      </c>
      <c r="Z33" s="192">
        <v>162.06</v>
      </c>
      <c r="AA33" s="192">
        <v>146.16</v>
      </c>
      <c r="AB33" s="147">
        <v>156.74</v>
      </c>
      <c r="AC33" s="192">
        <v>155.75</v>
      </c>
      <c r="AD33" s="192">
        <v>165.52</v>
      </c>
      <c r="AE33" s="192">
        <v>176.65</v>
      </c>
      <c r="AF33" s="192">
        <v>164.73</v>
      </c>
      <c r="AG33" s="192">
        <v>177.51</v>
      </c>
      <c r="AH33" s="192">
        <v>177.23</v>
      </c>
      <c r="AI33" s="192">
        <v>171.07</v>
      </c>
      <c r="AJ33" s="192">
        <v>161.5</v>
      </c>
      <c r="AK33" s="192">
        <v>164.74</v>
      </c>
      <c r="AL33" s="192">
        <v>164.35</v>
      </c>
      <c r="AM33" s="192">
        <v>157.38</v>
      </c>
      <c r="AN33" s="147"/>
      <c r="AO33" s="110"/>
      <c r="AP33" s="95"/>
      <c r="AQ33" s="58"/>
      <c r="AR33" s="105"/>
      <c r="AS33" s="105"/>
      <c r="AT33" s="356" t="s">
        <v>2392</v>
      </c>
    </row>
    <row r="34" spans="2:50" ht="6" customHeight="1">
      <c r="B34" s="58"/>
      <c r="AA34" s="84"/>
      <c r="AT34" s="60"/>
    </row>
    <row r="35" spans="2:50">
      <c r="B35" s="80"/>
      <c r="C35" s="80"/>
      <c r="D35" s="80"/>
      <c r="E35" s="60" t="s">
        <v>834</v>
      </c>
      <c r="G35" s="37"/>
      <c r="H35" s="69"/>
      <c r="I35" s="345">
        <v>3045</v>
      </c>
      <c r="J35" s="344">
        <v>3045</v>
      </c>
      <c r="K35" s="184"/>
      <c r="L35" s="219"/>
      <c r="M35" s="199"/>
      <c r="N35" s="199"/>
      <c r="P35" s="144"/>
      <c r="Q35" s="144"/>
      <c r="R35" s="187"/>
      <c r="S35" s="214"/>
      <c r="T35" s="89"/>
      <c r="U35" s="192"/>
      <c r="V35" s="192"/>
      <c r="W35" s="192"/>
      <c r="X35" s="192"/>
      <c r="Y35" s="192"/>
      <c r="Z35" s="192"/>
      <c r="AA35" s="192"/>
      <c r="AB35" s="147"/>
      <c r="AC35" s="192"/>
      <c r="AD35" s="192"/>
      <c r="AE35" s="192"/>
      <c r="AF35" s="192"/>
      <c r="AG35" s="192"/>
      <c r="AH35" s="192"/>
      <c r="AI35" s="192"/>
      <c r="AJ35" s="192"/>
      <c r="AK35" s="192"/>
      <c r="AL35" s="192"/>
      <c r="AM35" s="192"/>
      <c r="AN35" s="110"/>
      <c r="AO35" s="110"/>
      <c r="AP35" s="95"/>
      <c r="AQ35" s="58"/>
      <c r="AR35" s="105"/>
      <c r="AS35" s="105"/>
      <c r="AT35" s="232" t="s">
        <v>2360</v>
      </c>
      <c r="AU35" s="10"/>
      <c r="AW35" s="211"/>
      <c r="AX35" s="13"/>
    </row>
    <row r="36" spans="2:50">
      <c r="B36" s="90"/>
      <c r="C36" s="90"/>
      <c r="D36" s="90"/>
      <c r="E36" s="103" t="s">
        <v>835</v>
      </c>
      <c r="F36" s="25"/>
      <c r="G36" s="233"/>
      <c r="H36" s="56"/>
      <c r="I36" s="234">
        <f>SUM(I21:I35)</f>
        <v>3880.1196902000002</v>
      </c>
      <c r="J36" s="234">
        <f>SUM(J21:J35)</f>
        <v>3690.1474801499999</v>
      </c>
      <c r="K36" s="234">
        <f>+I36-J36</f>
        <v>189.97221005000029</v>
      </c>
      <c r="L36" s="235">
        <f>+K36/J36</f>
        <v>5.1480926188423815E-2</v>
      </c>
      <c r="M36" s="201"/>
      <c r="N36" s="201"/>
      <c r="O36" s="20"/>
      <c r="P36" s="161"/>
      <c r="Q36" s="161"/>
      <c r="R36" s="202"/>
      <c r="S36" s="237"/>
      <c r="T36" s="250"/>
      <c r="U36" s="193"/>
      <c r="V36" s="193"/>
      <c r="W36" s="192"/>
      <c r="X36" s="193"/>
      <c r="Y36" s="193"/>
      <c r="Z36" s="193"/>
      <c r="AA36" s="193"/>
      <c r="AB36" s="149"/>
      <c r="AC36" s="193"/>
      <c r="AD36" s="193"/>
      <c r="AE36" s="193"/>
      <c r="AF36" s="193"/>
      <c r="AG36" s="193"/>
      <c r="AH36" s="193"/>
      <c r="AI36" s="193"/>
      <c r="AJ36" s="193"/>
      <c r="AK36" s="193"/>
      <c r="AL36" s="193"/>
      <c r="AM36" s="193"/>
      <c r="AN36" s="111"/>
      <c r="AO36" s="111"/>
      <c r="AP36" s="313"/>
      <c r="AQ36" s="58"/>
      <c r="AR36" s="284"/>
      <c r="AS36" s="284"/>
      <c r="AT36" s="23"/>
      <c r="AU36" s="10"/>
    </row>
    <row r="37" spans="2:50" ht="6" customHeight="1">
      <c r="B37" s="20"/>
      <c r="C37" s="20"/>
      <c r="D37" s="20"/>
      <c r="E37" s="242"/>
      <c r="F37" s="25"/>
      <c r="G37" s="233"/>
      <c r="H37" s="25"/>
      <c r="I37" s="1417"/>
      <c r="J37" s="234"/>
      <c r="K37" s="1417"/>
      <c r="L37" s="1418"/>
      <c r="M37" s="1417"/>
      <c r="N37" s="1417"/>
      <c r="O37" s="20"/>
      <c r="P37" s="119"/>
      <c r="Q37" s="119"/>
      <c r="R37" s="236"/>
      <c r="S37" s="1419"/>
      <c r="T37" s="32"/>
      <c r="U37" s="111"/>
      <c r="V37" s="111"/>
      <c r="W37" s="110"/>
      <c r="X37" s="111"/>
      <c r="Y37" s="111"/>
      <c r="Z37" s="111"/>
      <c r="AA37" s="111"/>
      <c r="AB37" s="111"/>
      <c r="AC37" s="111"/>
      <c r="AD37" s="111"/>
      <c r="AE37" s="111"/>
      <c r="AF37" s="111"/>
      <c r="AG37" s="111"/>
      <c r="AH37" s="111"/>
      <c r="AI37" s="111"/>
      <c r="AJ37" s="111"/>
      <c r="AK37" s="111"/>
      <c r="AL37" s="111"/>
      <c r="AM37" s="111"/>
      <c r="AN37" s="111"/>
      <c r="AO37" s="111"/>
      <c r="AP37" s="313"/>
      <c r="AR37" s="284"/>
      <c r="AS37" s="284"/>
      <c r="AT37" s="314"/>
      <c r="AU37" s="10"/>
    </row>
    <row r="38" spans="2:50">
      <c r="B38" s="26"/>
      <c r="C38" s="27"/>
      <c r="D38" s="27"/>
      <c r="E38" s="122" t="s">
        <v>836</v>
      </c>
      <c r="F38" s="63"/>
      <c r="G38" s="251"/>
      <c r="H38" s="46"/>
      <c r="I38" s="253">
        <f>+I17+I36</f>
        <v>7222.9603132400007</v>
      </c>
      <c r="J38" s="253">
        <f>+J17+J36</f>
        <v>6750.4189670899996</v>
      </c>
      <c r="K38" s="253">
        <f>+I38-J38</f>
        <v>472.54134615000112</v>
      </c>
      <c r="L38" s="349">
        <f>+K38/J38</f>
        <v>7.0001780401151362E-2</v>
      </c>
      <c r="M38" s="207"/>
      <c r="N38" s="207"/>
      <c r="O38" s="27"/>
      <c r="P38" s="326"/>
      <c r="Q38" s="326"/>
      <c r="R38" s="255"/>
      <c r="S38" s="350"/>
      <c r="T38" s="89"/>
      <c r="U38" s="43"/>
      <c r="V38" s="43"/>
      <c r="W38" s="192"/>
      <c r="X38" s="43"/>
      <c r="Y38" s="43"/>
      <c r="Z38" s="43"/>
      <c r="AA38" s="43"/>
      <c r="AB38" s="43"/>
      <c r="AC38" s="43"/>
      <c r="AD38" s="43"/>
      <c r="AE38" s="43"/>
      <c r="AF38" s="43"/>
      <c r="AG38" s="43"/>
      <c r="AH38" s="43"/>
      <c r="AI38" s="43"/>
      <c r="AJ38" s="43"/>
      <c r="AK38" s="43"/>
      <c r="AL38" s="43"/>
      <c r="AM38" s="43"/>
      <c r="AN38" s="244"/>
      <c r="AO38" s="244"/>
      <c r="AP38" s="327"/>
      <c r="AR38" s="328"/>
      <c r="AS38" s="351"/>
      <c r="AT38" s="352"/>
      <c r="AU38" s="10"/>
    </row>
    <row r="39" spans="2:50" ht="6" customHeight="1">
      <c r="E39" s="11"/>
      <c r="G39" s="37"/>
      <c r="I39" s="217"/>
      <c r="J39" s="217"/>
      <c r="K39" s="217"/>
      <c r="L39" s="245"/>
      <c r="M39" s="184"/>
      <c r="N39" s="184"/>
      <c r="P39" s="118"/>
      <c r="Q39" s="118"/>
      <c r="R39" s="213"/>
      <c r="S39" s="317"/>
      <c r="T39" s="32"/>
      <c r="U39" s="110"/>
      <c r="V39" s="110"/>
      <c r="W39" s="110"/>
      <c r="X39" s="110"/>
      <c r="Y39" s="110"/>
      <c r="Z39" s="110"/>
      <c r="AA39" s="110"/>
      <c r="AB39" s="110"/>
      <c r="AC39" s="110"/>
      <c r="AD39" s="110"/>
      <c r="AE39" s="110"/>
      <c r="AF39" s="110"/>
      <c r="AG39" s="110"/>
      <c r="AH39" s="110"/>
      <c r="AI39" s="110"/>
      <c r="AJ39" s="110"/>
      <c r="AK39" s="110"/>
      <c r="AL39" s="110"/>
      <c r="AM39" s="110"/>
      <c r="AN39" s="110"/>
      <c r="AO39" s="110"/>
      <c r="AP39" s="95"/>
      <c r="AR39" s="105"/>
      <c r="AS39" s="105"/>
      <c r="AT39" s="152"/>
      <c r="AU39" s="10"/>
    </row>
    <row r="40" spans="2:50">
      <c r="B40" s="14"/>
      <c r="C40" s="15"/>
      <c r="D40" s="15"/>
      <c r="E40" s="24" t="s">
        <v>126</v>
      </c>
      <c r="F40" s="24"/>
      <c r="G40" s="353"/>
      <c r="H40" s="116"/>
      <c r="I40" s="354">
        <v>975</v>
      </c>
      <c r="J40" s="354">
        <v>975</v>
      </c>
      <c r="K40" s="238">
        <f>+I40-J40</f>
        <v>0</v>
      </c>
      <c r="L40" s="239">
        <f>+K40/J40</f>
        <v>0</v>
      </c>
      <c r="M40" s="228"/>
      <c r="N40" s="228"/>
      <c r="O40" s="194" t="s">
        <v>930</v>
      </c>
      <c r="P40" s="160"/>
      <c r="Q40" s="160"/>
      <c r="R40" s="229"/>
      <c r="S40" s="240"/>
      <c r="T40" s="89"/>
      <c r="U40" s="191"/>
      <c r="V40" s="191"/>
      <c r="W40" s="192"/>
      <c r="X40" s="191"/>
      <c r="Y40" s="191"/>
      <c r="Z40" s="191"/>
      <c r="AA40" s="191"/>
      <c r="AB40" s="191"/>
      <c r="AC40" s="191"/>
      <c r="AD40" s="191"/>
      <c r="AE40" s="191"/>
      <c r="AF40" s="191"/>
      <c r="AG40" s="191"/>
      <c r="AH40" s="191"/>
      <c r="AI40" s="191"/>
      <c r="AJ40" s="191"/>
      <c r="AK40" s="191"/>
      <c r="AL40" s="191"/>
      <c r="AM40" s="191"/>
      <c r="AN40" s="113"/>
      <c r="AO40" s="113"/>
      <c r="AP40" s="220"/>
      <c r="AR40" s="177"/>
      <c r="AS40" s="178"/>
      <c r="AT40" s="241" t="s">
        <v>2360</v>
      </c>
      <c r="AU40" s="10"/>
    </row>
    <row r="41" spans="2:50">
      <c r="B41" s="58"/>
      <c r="E41" t="s">
        <v>156</v>
      </c>
      <c r="G41" s="320"/>
      <c r="H41" s="69"/>
      <c r="I41" s="348">
        <v>545</v>
      </c>
      <c r="J41" s="348">
        <v>545</v>
      </c>
      <c r="K41" s="217">
        <f>+I41-J41</f>
        <v>0</v>
      </c>
      <c r="L41" s="319">
        <f>+K41/J41</f>
        <v>0</v>
      </c>
      <c r="M41" s="199"/>
      <c r="N41" s="199"/>
      <c r="O41" s="7" t="s">
        <v>931</v>
      </c>
      <c r="P41" s="144"/>
      <c r="Q41" s="144"/>
      <c r="R41" s="213"/>
      <c r="S41" s="214"/>
      <c r="T41" s="89"/>
      <c r="U41" s="192"/>
      <c r="V41" s="192"/>
      <c r="W41" s="192"/>
      <c r="X41" s="192"/>
      <c r="Y41" s="192"/>
      <c r="Z41" s="192"/>
      <c r="AA41" s="192"/>
      <c r="AB41" s="192"/>
      <c r="AC41" s="192"/>
      <c r="AD41" s="192"/>
      <c r="AE41" s="192"/>
      <c r="AF41" s="192"/>
      <c r="AG41" s="192"/>
      <c r="AH41" s="192"/>
      <c r="AI41" s="192"/>
      <c r="AJ41" s="192"/>
      <c r="AK41" s="192"/>
      <c r="AL41" s="192"/>
      <c r="AM41" s="192"/>
      <c r="AN41" s="110"/>
      <c r="AO41" s="110"/>
      <c r="AP41" s="164"/>
      <c r="AR41" s="136"/>
      <c r="AS41" s="137"/>
      <c r="AT41" s="232" t="s">
        <v>2360</v>
      </c>
      <c r="AU41" s="10"/>
      <c r="AV41" s="211"/>
    </row>
    <row r="42" spans="2:50">
      <c r="B42" s="58" t="s">
        <v>25</v>
      </c>
      <c r="C42" s="30">
        <f>+C8</f>
        <v>0.7248</v>
      </c>
      <c r="D42" s="30">
        <f>+D8</f>
        <v>0.71799999999999997</v>
      </c>
      <c r="E42" s="7" t="s">
        <v>2352</v>
      </c>
      <c r="F42" s="282" t="s">
        <v>2353</v>
      </c>
      <c r="G42" s="2018">
        <v>7.2999999999999995E-2</v>
      </c>
      <c r="H42" s="507"/>
      <c r="I42" s="183">
        <f t="shared" ref="I42" si="32">+C42*P42</f>
        <v>496.44813599999998</v>
      </c>
      <c r="J42" s="184">
        <f t="shared" ref="J42" si="33">+D42*Q42</f>
        <v>468.97605999999996</v>
      </c>
      <c r="K42" s="184">
        <f>+I42-J42</f>
        <v>27.472076000000015</v>
      </c>
      <c r="L42" s="67">
        <f>+K42/J42</f>
        <v>5.8578845154697273E-2</v>
      </c>
      <c r="M42" s="199"/>
      <c r="N42" s="199"/>
      <c r="O42" s="58" t="s">
        <v>25</v>
      </c>
      <c r="P42" s="118">
        <f>+S42*U42</f>
        <v>684.94499999999994</v>
      </c>
      <c r="Q42" s="118">
        <f t="shared" ref="Q42" si="34">+S42*V42</f>
        <v>653.16999999999996</v>
      </c>
      <c r="R42" s="213"/>
      <c r="S42" s="2025">
        <v>15.5</v>
      </c>
      <c r="T42" s="80"/>
      <c r="U42" s="166">
        <v>44.19</v>
      </c>
      <c r="V42" s="192">
        <v>42.14</v>
      </c>
      <c r="W42" s="192"/>
      <c r="X42" s="192">
        <v>24.76</v>
      </c>
      <c r="Y42" s="192">
        <v>26.62</v>
      </c>
      <c r="Z42" s="192">
        <v>26.04</v>
      </c>
      <c r="AA42" s="192">
        <v>21.19</v>
      </c>
      <c r="AB42" s="192">
        <v>18.440000000000001</v>
      </c>
      <c r="AC42" s="192">
        <v>21.96</v>
      </c>
      <c r="AD42" s="192">
        <v>21.9</v>
      </c>
      <c r="AE42" s="192">
        <v>22.21</v>
      </c>
      <c r="AF42" s="192">
        <v>19.399999999999999</v>
      </c>
      <c r="AG42" s="192">
        <v>18.14</v>
      </c>
      <c r="AH42" s="192">
        <v>24.1</v>
      </c>
      <c r="AI42" s="192">
        <v>17.41</v>
      </c>
      <c r="AJ42" s="192">
        <v>15.57</v>
      </c>
      <c r="AK42" s="192">
        <v>17.03</v>
      </c>
      <c r="AL42" s="192">
        <v>15.01</v>
      </c>
      <c r="AM42" s="192">
        <v>15</v>
      </c>
      <c r="AN42" s="147"/>
      <c r="AO42" s="280" t="s">
        <v>79</v>
      </c>
      <c r="AP42" s="95"/>
      <c r="AQ42" s="58"/>
      <c r="AR42" s="105"/>
      <c r="AS42" s="105"/>
      <c r="AT42" s="356" t="s">
        <v>2356</v>
      </c>
      <c r="AU42" s="325"/>
      <c r="AW42" s="211"/>
    </row>
    <row r="43" spans="2:50">
      <c r="B43" s="19"/>
      <c r="C43" s="20"/>
      <c r="D43" s="20"/>
      <c r="E43" s="25" t="s">
        <v>153</v>
      </c>
      <c r="F43" s="25"/>
      <c r="G43" s="233"/>
      <c r="H43" s="56"/>
      <c r="I43" s="355">
        <v>540</v>
      </c>
      <c r="J43" s="355">
        <f>860-320</f>
        <v>540</v>
      </c>
      <c r="K43" s="234">
        <f>+I43-J43</f>
        <v>0</v>
      </c>
      <c r="L43" s="235">
        <f>+K43/J43</f>
        <v>0</v>
      </c>
      <c r="M43" s="201"/>
      <c r="N43" s="201"/>
      <c r="O43" s="321" t="s">
        <v>932</v>
      </c>
      <c r="P43" s="161"/>
      <c r="Q43" s="161"/>
      <c r="R43" s="236"/>
      <c r="S43" s="237"/>
      <c r="T43" s="89"/>
      <c r="U43" s="193"/>
      <c r="V43" s="193"/>
      <c r="W43" s="192"/>
      <c r="X43" s="193"/>
      <c r="Y43" s="193"/>
      <c r="Z43" s="193"/>
      <c r="AA43" s="193"/>
      <c r="AB43" s="193"/>
      <c r="AC43" s="193"/>
      <c r="AD43" s="193"/>
      <c r="AE43" s="193"/>
      <c r="AF43" s="193"/>
      <c r="AG43" s="193"/>
      <c r="AH43" s="193"/>
      <c r="AI43" s="193"/>
      <c r="AJ43" s="193"/>
      <c r="AK43" s="193"/>
      <c r="AL43" s="193"/>
      <c r="AM43" s="193"/>
      <c r="AN43" s="111"/>
      <c r="AO43" s="111"/>
      <c r="AP43" s="195"/>
      <c r="AR43" s="140"/>
      <c r="AS43" s="141"/>
      <c r="AT43" s="243" t="s">
        <v>2360</v>
      </c>
      <c r="AU43" s="10"/>
    </row>
    <row r="44" spans="2:50">
      <c r="B44" s="19"/>
      <c r="C44" s="20"/>
      <c r="D44" s="20"/>
      <c r="E44" s="242" t="s">
        <v>101</v>
      </c>
      <c r="F44" s="25"/>
      <c r="G44" s="233"/>
      <c r="H44" s="56"/>
      <c r="I44" s="234">
        <f>SUM(I40:I43)</f>
        <v>2556.448136</v>
      </c>
      <c r="J44" s="234">
        <f>SUM(J40:J43)</f>
        <v>2528.97606</v>
      </c>
      <c r="K44" s="234">
        <f>+I44-J44</f>
        <v>27.472076000000015</v>
      </c>
      <c r="L44" s="235">
        <f>+K44/J44</f>
        <v>1.0862924499174585E-2</v>
      </c>
      <c r="M44" s="201"/>
      <c r="N44" s="201"/>
      <c r="O44" s="321"/>
      <c r="P44" s="161"/>
      <c r="Q44" s="161"/>
      <c r="R44" s="236"/>
      <c r="S44" s="237"/>
      <c r="T44" s="89"/>
      <c r="U44" s="193"/>
      <c r="V44" s="193"/>
      <c r="W44" s="192"/>
      <c r="X44" s="193"/>
      <c r="Y44" s="193"/>
      <c r="Z44" s="193"/>
      <c r="AA44" s="193"/>
      <c r="AB44" s="193"/>
      <c r="AC44" s="193"/>
      <c r="AD44" s="193"/>
      <c r="AE44" s="193"/>
      <c r="AF44" s="193"/>
      <c r="AG44" s="193"/>
      <c r="AH44" s="193"/>
      <c r="AI44" s="193"/>
      <c r="AJ44" s="193"/>
      <c r="AK44" s="193"/>
      <c r="AL44" s="193"/>
      <c r="AM44" s="193"/>
      <c r="AN44" s="111"/>
      <c r="AO44" s="111"/>
      <c r="AP44" s="195"/>
      <c r="AR44" s="140"/>
      <c r="AS44" s="141"/>
      <c r="AT44" s="243" t="s">
        <v>2360</v>
      </c>
      <c r="AU44" s="10"/>
    </row>
    <row r="45" spans="2:50" ht="6" customHeight="1">
      <c r="B45" s="15"/>
      <c r="C45" s="15"/>
      <c r="D45" s="15"/>
      <c r="E45" s="15"/>
      <c r="F45" s="24"/>
      <c r="G45" s="268"/>
      <c r="H45" s="24"/>
      <c r="I45" s="16"/>
      <c r="J45" s="16"/>
      <c r="K45" s="16"/>
      <c r="L45" s="269"/>
      <c r="M45" s="16"/>
      <c r="N45" s="16"/>
      <c r="O45" s="15"/>
      <c r="P45" s="120"/>
      <c r="Q45" s="120"/>
      <c r="R45" s="17"/>
      <c r="S45" s="15"/>
      <c r="U45" s="113"/>
      <c r="V45" s="113"/>
      <c r="W45" s="110"/>
      <c r="X45" s="113"/>
      <c r="Y45" s="113"/>
      <c r="Z45" s="113"/>
      <c r="AA45" s="113"/>
      <c r="AB45" s="113"/>
      <c r="AC45" s="113"/>
      <c r="AD45" s="113"/>
      <c r="AE45" s="113"/>
      <c r="AF45" s="113"/>
      <c r="AG45" s="113"/>
      <c r="AH45" s="113"/>
      <c r="AI45" s="113"/>
      <c r="AJ45" s="113"/>
      <c r="AK45" s="113"/>
      <c r="AL45" s="113"/>
      <c r="AM45" s="113"/>
      <c r="AN45" s="113"/>
      <c r="AO45" s="113"/>
      <c r="AP45" s="256"/>
      <c r="AR45" s="257"/>
      <c r="AS45" s="257"/>
      <c r="AT45" s="24"/>
    </row>
    <row r="46" spans="2:50" s="11" customFormat="1">
      <c r="B46" s="42"/>
      <c r="C46" s="42"/>
      <c r="D46" s="42"/>
      <c r="E46" s="272" t="s">
        <v>107</v>
      </c>
      <c r="F46" s="273"/>
      <c r="G46" s="249"/>
      <c r="I46" s="274">
        <f>+I38+I44</f>
        <v>9779.4084492399998</v>
      </c>
      <c r="J46" s="275">
        <f>+J38+J44</f>
        <v>9279.3950270899986</v>
      </c>
      <c r="K46" s="275">
        <f>+I46-J46</f>
        <v>500.01342215000113</v>
      </c>
      <c r="L46" s="276">
        <f>+K46/J46</f>
        <v>5.3884269469106162E-2</v>
      </c>
      <c r="M46" s="76"/>
      <c r="N46" s="76"/>
      <c r="Q46" s="246"/>
      <c r="R46" s="247"/>
      <c r="S46" s="30"/>
      <c r="T46" s="30"/>
      <c r="U46" s="1211">
        <f>+K46/U2</f>
        <v>22.422126553811708</v>
      </c>
      <c r="V46" s="246"/>
      <c r="W46" s="246"/>
      <c r="X46" s="246"/>
      <c r="Y46" s="246"/>
      <c r="Z46" s="246"/>
      <c r="AA46" s="246"/>
      <c r="AB46" s="246"/>
      <c r="AC46" s="1018"/>
      <c r="AD46" s="774" t="s">
        <v>1075</v>
      </c>
      <c r="AE46" s="93"/>
      <c r="AF46" s="110"/>
      <c r="AG46" s="93"/>
      <c r="AH46" s="110"/>
      <c r="AI46" s="110"/>
      <c r="AJ46" s="93"/>
      <c r="AK46" s="93"/>
      <c r="AL46" s="93"/>
      <c r="AM46" s="110"/>
      <c r="AN46" s="110"/>
      <c r="AO46" s="110"/>
      <c r="AP46" s="96"/>
      <c r="AQ46" s="42"/>
      <c r="AR46" s="106"/>
      <c r="AS46" s="106">
        <f>SUM(AS9:AS16)</f>
        <v>672.5403275000001</v>
      </c>
    </row>
    <row r="47" spans="2:50" s="11" customFormat="1" ht="15" customHeight="1">
      <c r="B47" s="42"/>
      <c r="C47" s="42"/>
      <c r="D47" s="42"/>
      <c r="E47" s="42"/>
      <c r="G47" s="249"/>
      <c r="I47" s="217"/>
      <c r="J47" s="217"/>
      <c r="K47" s="217"/>
      <c r="L47" s="245"/>
      <c r="M47" s="217"/>
      <c r="N47" s="217"/>
      <c r="P47" s="246"/>
      <c r="Q47" s="246"/>
      <c r="R47" s="247"/>
      <c r="S47" s="30"/>
      <c r="T47" s="30"/>
      <c r="U47" s="110"/>
      <c r="V47" s="110"/>
      <c r="W47" s="110"/>
      <c r="X47" s="110"/>
      <c r="Y47" s="110"/>
      <c r="Z47" s="110"/>
      <c r="AA47" s="110"/>
      <c r="AB47" s="110"/>
      <c r="AC47" s="110"/>
      <c r="AD47" s="110"/>
      <c r="AE47" s="110"/>
      <c r="AF47" s="110"/>
      <c r="AG47" s="110"/>
      <c r="AH47" s="110"/>
      <c r="AI47" s="110"/>
      <c r="AJ47" s="110"/>
      <c r="AK47" s="110"/>
      <c r="AL47" s="110"/>
      <c r="AM47" s="110"/>
      <c r="AN47" s="110"/>
      <c r="AO47" s="110"/>
      <c r="AP47" s="248"/>
      <c r="AQ47" s="42"/>
      <c r="AR47" s="106"/>
      <c r="AS47" s="106"/>
    </row>
    <row r="48" spans="2:50" s="11" customFormat="1" ht="15" customHeight="1">
      <c r="B48" s="42"/>
      <c r="C48" s="42"/>
      <c r="D48" s="42"/>
      <c r="E48" s="42"/>
      <c r="G48" s="249"/>
      <c r="I48" s="217"/>
      <c r="J48" s="217"/>
      <c r="K48" s="217"/>
      <c r="L48" s="245"/>
      <c r="M48" s="217"/>
      <c r="N48" s="217"/>
      <c r="P48" s="246"/>
      <c r="Q48" s="246"/>
      <c r="R48" s="247"/>
      <c r="S48" s="30"/>
      <c r="T48" s="30"/>
      <c r="U48" s="110"/>
      <c r="V48" s="110"/>
      <c r="W48" s="110"/>
      <c r="X48" s="110"/>
      <c r="Y48" s="110"/>
      <c r="Z48" s="110"/>
      <c r="AA48" s="110"/>
      <c r="AB48" s="110"/>
      <c r="AC48" s="110"/>
      <c r="AD48" s="110"/>
      <c r="AE48" s="110"/>
      <c r="AF48" s="110"/>
      <c r="AG48" s="110"/>
      <c r="AH48" s="110"/>
      <c r="AI48" s="110"/>
      <c r="AJ48" s="110"/>
      <c r="AK48" s="110"/>
      <c r="AL48" s="110"/>
      <c r="AM48" s="110"/>
      <c r="AN48" s="110"/>
      <c r="AO48" s="110"/>
      <c r="AP48" s="248"/>
      <c r="AQ48" s="42"/>
      <c r="AR48" s="106"/>
      <c r="AS48" s="106"/>
    </row>
    <row r="49" spans="2:55" s="11" customFormat="1" ht="21">
      <c r="B49" s="42"/>
      <c r="C49" s="42"/>
      <c r="D49" s="42"/>
      <c r="E49" s="4" t="s">
        <v>1074</v>
      </c>
      <c r="G49" s="249"/>
      <c r="I49" s="217"/>
      <c r="J49" s="217"/>
      <c r="K49" s="217"/>
      <c r="L49" s="245"/>
      <c r="M49" s="217"/>
      <c r="N49" s="217"/>
      <c r="P49" s="246"/>
      <c r="Q49" s="246"/>
      <c r="R49" s="247"/>
      <c r="S49" s="30"/>
      <c r="T49" s="30"/>
      <c r="U49" s="110"/>
      <c r="V49" s="110"/>
      <c r="W49" s="110"/>
      <c r="X49" s="110"/>
      <c r="Y49" s="110"/>
      <c r="Z49" s="110"/>
      <c r="AA49" s="110"/>
      <c r="AB49" s="110"/>
      <c r="AC49" s="110"/>
      <c r="AD49" s="110"/>
      <c r="AE49" s="110"/>
      <c r="AF49" s="110"/>
      <c r="AG49" s="110"/>
      <c r="AH49" s="110"/>
      <c r="AI49" s="110"/>
      <c r="AJ49" s="110"/>
      <c r="AK49" s="110"/>
      <c r="AL49" s="110"/>
      <c r="AM49" s="110"/>
      <c r="AN49" s="110"/>
      <c r="AO49" s="110"/>
      <c r="AP49" s="248"/>
      <c r="AQ49" s="42"/>
      <c r="AR49" s="106"/>
      <c r="AS49" s="106"/>
      <c r="AV49" s="11">
        <v>117.94</v>
      </c>
      <c r="AW49" s="11">
        <v>10000000</v>
      </c>
      <c r="AX49" s="821">
        <f>+AV49*AW49</f>
        <v>1179400000</v>
      </c>
      <c r="AY49" s="820">
        <f>+AX49*C63</f>
        <v>12419082</v>
      </c>
    </row>
    <row r="50" spans="2:55" s="11" customFormat="1" ht="6" customHeight="1">
      <c r="B50" s="42"/>
      <c r="C50" s="42"/>
      <c r="D50" s="42"/>
      <c r="E50" s="42"/>
      <c r="G50" s="249"/>
      <c r="I50" s="217"/>
      <c r="J50" s="217"/>
      <c r="K50" s="217"/>
      <c r="L50" s="245"/>
      <c r="M50" s="217"/>
      <c r="N50" s="217"/>
      <c r="P50" s="246"/>
      <c r="Q50" s="246"/>
      <c r="R50" s="247"/>
      <c r="S50" s="30"/>
      <c r="T50" s="30"/>
      <c r="U50" s="110"/>
      <c r="V50" s="110"/>
      <c r="W50" s="110"/>
      <c r="X50" s="110"/>
      <c r="Y50" s="110"/>
      <c r="Z50" s="110"/>
      <c r="AA50" s="110"/>
      <c r="AB50" s="110"/>
      <c r="AC50" s="110"/>
      <c r="AD50" s="110"/>
      <c r="AE50" s="110"/>
      <c r="AF50" s="110"/>
      <c r="AG50" s="110"/>
      <c r="AH50" s="110"/>
      <c r="AI50" s="110"/>
      <c r="AJ50" s="110"/>
      <c r="AK50" s="110"/>
      <c r="AL50" s="110"/>
      <c r="AM50" s="110"/>
      <c r="AN50" s="110"/>
      <c r="AO50" s="110"/>
      <c r="AP50" s="248"/>
      <c r="AQ50" s="42"/>
      <c r="AR50" s="106"/>
      <c r="AS50" s="106"/>
    </row>
    <row r="51" spans="2:55" ht="17" thickBot="1">
      <c r="I51" s="2075" t="s">
        <v>1268</v>
      </c>
      <c r="J51" s="2078"/>
      <c r="K51" s="2076"/>
      <c r="L51" s="42"/>
      <c r="M51" s="479">
        <v>46387</v>
      </c>
      <c r="N51" s="42"/>
      <c r="O51" s="2071" t="s">
        <v>37</v>
      </c>
      <c r="P51" s="2077"/>
      <c r="Q51" s="2077"/>
      <c r="R51" s="153"/>
      <c r="S51" s="40" t="s">
        <v>78</v>
      </c>
      <c r="U51" s="2071" t="s">
        <v>26</v>
      </c>
      <c r="V51" s="2072"/>
      <c r="W51" s="1235"/>
      <c r="X51" s="11"/>
      <c r="Y51" s="123"/>
      <c r="Z51" s="133"/>
      <c r="AA51" s="133"/>
      <c r="AB51" s="133"/>
      <c r="AC51" s="133"/>
      <c r="AD51" s="133"/>
      <c r="AE51" s="133"/>
      <c r="AF51" s="133"/>
      <c r="AG51" s="133"/>
      <c r="AH51" s="133"/>
      <c r="AI51" s="133"/>
      <c r="AJ51" s="133"/>
      <c r="AK51" s="133"/>
      <c r="AL51" s="133"/>
      <c r="AM51" s="133"/>
      <c r="AN51" s="133"/>
      <c r="AO51" s="133"/>
      <c r="AP51" s="1537"/>
      <c r="AR51" s="132" t="s">
        <v>26</v>
      </c>
      <c r="AS51" s="133"/>
      <c r="AV51">
        <v>30.56</v>
      </c>
      <c r="AW51" s="10">
        <f>+AV51*AW49</f>
        <v>305600000</v>
      </c>
      <c r="AX51" s="492">
        <f>0.0928-0.0338</f>
        <v>5.8999999999999997E-2</v>
      </c>
      <c r="AY51" s="10">
        <f>+AW51*AX51</f>
        <v>18030400</v>
      </c>
      <c r="AZ51" s="10">
        <f>+AY51*65.55</f>
        <v>1181892720</v>
      </c>
    </row>
    <row r="52" spans="2:55" s="42" customFormat="1">
      <c r="B52" s="40"/>
      <c r="C52" s="2075" t="s">
        <v>52</v>
      </c>
      <c r="D52" s="2076"/>
      <c r="E52" s="151" t="s">
        <v>36</v>
      </c>
      <c r="F52" s="99"/>
      <c r="G52" s="40" t="s">
        <v>38</v>
      </c>
      <c r="I52" s="40" t="s">
        <v>19</v>
      </c>
      <c r="J52" s="40" t="s">
        <v>19</v>
      </c>
      <c r="K52" s="2071" t="s">
        <v>16</v>
      </c>
      <c r="L52" s="2072"/>
      <c r="M52" s="40" t="s">
        <v>13</v>
      </c>
      <c r="O52" s="51"/>
      <c r="P52" s="71" t="s">
        <v>19</v>
      </c>
      <c r="Q52" s="71" t="s">
        <v>19</v>
      </c>
      <c r="S52" s="51" t="s">
        <v>14</v>
      </c>
      <c r="U52" s="40">
        <f>+U5</f>
        <v>2026</v>
      </c>
      <c r="V52" s="40">
        <f>+V5</f>
        <v>2026</v>
      </c>
      <c r="W52" s="71"/>
      <c r="X52" s="40">
        <v>2025</v>
      </c>
      <c r="Y52" s="212">
        <v>2024</v>
      </c>
      <c r="Z52" s="242"/>
      <c r="AA52" s="242"/>
      <c r="AB52" s="242"/>
      <c r="AC52" s="242"/>
      <c r="AD52" s="242"/>
      <c r="AE52" s="242"/>
      <c r="AF52" s="242"/>
      <c r="AG52" s="242"/>
      <c r="AH52" s="242"/>
      <c r="AI52" s="242"/>
      <c r="AJ52" s="242"/>
      <c r="AK52" s="242"/>
      <c r="AL52" s="242"/>
      <c r="AM52" s="242"/>
      <c r="AN52" s="242"/>
      <c r="AO52" s="242"/>
      <c r="AP52" s="103"/>
      <c r="AR52" s="134">
        <v>2019</v>
      </c>
      <c r="AS52" s="135" t="s">
        <v>69</v>
      </c>
      <c r="AX52" s="822">
        <f>+AW51*0.0338</f>
        <v>10329279.999999998</v>
      </c>
    </row>
    <row r="53" spans="2:55" s="42" customFormat="1">
      <c r="B53" s="41"/>
      <c r="C53" s="115">
        <f>+C6</f>
        <v>46171</v>
      </c>
      <c r="D53" s="169">
        <f>+D6</f>
        <v>46112</v>
      </c>
      <c r="E53" s="101" t="s">
        <v>35</v>
      </c>
      <c r="F53" s="170" t="s">
        <v>8</v>
      </c>
      <c r="G53" s="41" t="s">
        <v>39</v>
      </c>
      <c r="H53" s="34"/>
      <c r="I53" s="780">
        <f>+U6</f>
        <v>46171</v>
      </c>
      <c r="J53" s="780">
        <f>+J6</f>
        <v>46387</v>
      </c>
      <c r="K53" s="39" t="s">
        <v>17</v>
      </c>
      <c r="L53" s="39" t="s">
        <v>39</v>
      </c>
      <c r="M53" s="41" t="s">
        <v>10</v>
      </c>
      <c r="O53" s="41"/>
      <c r="P53" s="115">
        <f>+U6</f>
        <v>46171</v>
      </c>
      <c r="Q53" s="115">
        <f>+Q6</f>
        <v>45747</v>
      </c>
      <c r="S53" s="41" t="s">
        <v>15</v>
      </c>
      <c r="U53" s="780">
        <f>+U6</f>
        <v>46171</v>
      </c>
      <c r="V53" s="780">
        <f>+V6</f>
        <v>46112</v>
      </c>
      <c r="W53" s="1691"/>
      <c r="X53" s="780">
        <v>45747</v>
      </c>
      <c r="Y53" s="169">
        <f>+Y6</f>
        <v>46022</v>
      </c>
      <c r="Z53" s="300">
        <f>+Z6</f>
        <v>45565</v>
      </c>
      <c r="AA53" s="300">
        <f>+AA6</f>
        <v>45473</v>
      </c>
      <c r="AB53" s="300">
        <f>+AB6</f>
        <v>45291</v>
      </c>
      <c r="AC53" s="300">
        <f>+AC6</f>
        <v>45199</v>
      </c>
      <c r="AD53" s="300">
        <v>45107</v>
      </c>
      <c r="AE53" s="300">
        <f t="shared" ref="AE53:AK53" si="35">+AE6</f>
        <v>44926</v>
      </c>
      <c r="AF53" s="300">
        <f t="shared" si="35"/>
        <v>44834</v>
      </c>
      <c r="AG53" s="300">
        <f t="shared" si="35"/>
        <v>44742</v>
      </c>
      <c r="AH53" s="300">
        <f t="shared" si="35"/>
        <v>44651</v>
      </c>
      <c r="AI53" s="300">
        <f t="shared" si="35"/>
        <v>44926</v>
      </c>
      <c r="AJ53" s="300">
        <f t="shared" si="35"/>
        <v>44469</v>
      </c>
      <c r="AK53" s="300">
        <f t="shared" si="35"/>
        <v>44377</v>
      </c>
      <c r="AL53" s="300">
        <v>44286</v>
      </c>
      <c r="AM53" s="172">
        <v>44196</v>
      </c>
      <c r="AN53" s="173">
        <v>44104</v>
      </c>
      <c r="AO53" s="171">
        <v>44012</v>
      </c>
      <c r="AP53" s="169">
        <v>43921</v>
      </c>
      <c r="AQ53" s="2"/>
      <c r="AR53" s="174">
        <v>44196</v>
      </c>
      <c r="AS53" s="175"/>
      <c r="AT53" s="9" t="s">
        <v>99</v>
      </c>
    </row>
    <row r="54" spans="2:55" s="11" customFormat="1" ht="6" customHeight="1" thickBot="1">
      <c r="B54" s="42"/>
      <c r="C54" s="42"/>
      <c r="D54" s="42"/>
      <c r="E54" s="42"/>
      <c r="G54" s="249"/>
      <c r="I54" s="217"/>
      <c r="J54" s="217"/>
      <c r="K54" s="217"/>
      <c r="L54" s="245"/>
      <c r="M54" s="217"/>
      <c r="N54" s="217"/>
      <c r="P54" s="246"/>
      <c r="Q54" s="246"/>
      <c r="R54" s="247"/>
      <c r="S54" s="30"/>
      <c r="T54" s="30"/>
      <c r="U54" s="110"/>
      <c r="V54" s="110"/>
      <c r="W54" s="110"/>
      <c r="X54" s="110"/>
      <c r="Y54" s="110"/>
      <c r="Z54" s="110"/>
      <c r="AA54" s="110"/>
      <c r="AB54" s="110"/>
      <c r="AC54" s="110"/>
      <c r="AD54" s="110"/>
      <c r="AE54" s="110"/>
      <c r="AF54" s="110"/>
      <c r="AG54" s="110"/>
      <c r="AH54" s="110"/>
      <c r="AI54" s="110"/>
      <c r="AJ54" s="110"/>
      <c r="AK54" s="110"/>
      <c r="AL54" s="110"/>
      <c r="AM54" s="110"/>
      <c r="AN54" s="110"/>
      <c r="AO54" s="110"/>
      <c r="AP54" s="248"/>
      <c r="AQ54" s="42"/>
      <c r="AR54" s="106"/>
      <c r="AS54" s="106"/>
    </row>
    <row r="55" spans="2:55" ht="17" thickBot="1">
      <c r="E55" s="286" t="s">
        <v>102</v>
      </c>
      <c r="F55" s="287"/>
      <c r="G55" s="288"/>
      <c r="H55" s="289"/>
      <c r="I55" s="290"/>
      <c r="J55" s="290"/>
      <c r="K55" s="290"/>
      <c r="L55" s="291"/>
      <c r="M55" s="292"/>
      <c r="N55" s="184"/>
      <c r="R55" s="6"/>
      <c r="S55" s="33"/>
      <c r="T55" s="33"/>
      <c r="U55" s="112"/>
      <c r="V55" s="112"/>
      <c r="W55" s="110"/>
      <c r="X55" s="112"/>
      <c r="Y55" s="112"/>
      <c r="Z55" s="112"/>
      <c r="AA55" s="112"/>
      <c r="AB55" s="112"/>
      <c r="AC55" s="112"/>
      <c r="AD55" s="112"/>
      <c r="AE55" s="112"/>
      <c r="AF55" s="112"/>
      <c r="AG55" s="112"/>
      <c r="AH55" s="112"/>
      <c r="AI55" s="112"/>
      <c r="AJ55" s="112"/>
      <c r="AK55" s="112"/>
      <c r="AL55" s="112"/>
      <c r="AM55" s="112"/>
      <c r="AN55" s="112"/>
      <c r="AO55" s="112"/>
      <c r="AP55" s="5"/>
      <c r="AR55" s="105"/>
      <c r="AS55" s="105"/>
      <c r="AU55" s="428">
        <v>1186</v>
      </c>
    </row>
    <row r="56" spans="2:55" ht="6" customHeight="1">
      <c r="G56" s="36"/>
      <c r="I56" s="3"/>
      <c r="J56" s="3"/>
      <c r="K56" s="3"/>
      <c r="L56" s="13"/>
      <c r="M56" s="3"/>
      <c r="N56" s="3"/>
      <c r="R56" s="6"/>
      <c r="U56" s="112"/>
      <c r="V56" s="112"/>
      <c r="W56" s="110"/>
      <c r="X56" s="112"/>
      <c r="Y56" s="112"/>
      <c r="Z56" s="112"/>
      <c r="AA56" s="112"/>
      <c r="AB56" s="112"/>
      <c r="AC56" s="112"/>
      <c r="AD56" s="112"/>
      <c r="AE56" s="112"/>
      <c r="AF56" s="112"/>
      <c r="AG56" s="112"/>
      <c r="AH56" s="112"/>
      <c r="AI56" s="112"/>
      <c r="AJ56" s="112"/>
      <c r="AK56" s="112"/>
      <c r="AL56" s="112"/>
      <c r="AM56" s="112"/>
      <c r="AN56" s="112"/>
      <c r="AO56" s="112"/>
      <c r="AP56" s="5"/>
      <c r="AR56" s="105"/>
      <c r="AS56" s="105"/>
    </row>
    <row r="57" spans="2:55">
      <c r="B57" s="159" t="s">
        <v>18</v>
      </c>
      <c r="C57" s="2019">
        <v>1.1660999999999999</v>
      </c>
      <c r="D57" s="159">
        <v>1.1552</v>
      </c>
      <c r="E57" s="14" t="s">
        <v>28</v>
      </c>
      <c r="F57" s="18" t="s">
        <v>2</v>
      </c>
      <c r="G57" s="1347">
        <v>0.32200000000000001</v>
      </c>
      <c r="H57" s="24"/>
      <c r="I57" s="121">
        <f>+C57*P57</f>
        <v>5441.34584292</v>
      </c>
      <c r="J57" s="16">
        <f>+D57*Q57</f>
        <v>4603.0487347200005</v>
      </c>
      <c r="K57" s="16">
        <f>+I57-J57</f>
        <v>838.29710819999946</v>
      </c>
      <c r="L57" s="1205">
        <f>+K57/J57</f>
        <v>0.1821177998566188</v>
      </c>
      <c r="M57" s="2056">
        <v>2790.3</v>
      </c>
      <c r="N57" s="16"/>
      <c r="O57" s="14" t="s">
        <v>18</v>
      </c>
      <c r="P57" s="160">
        <f>+S57*U57</f>
        <v>4666.2772000000004</v>
      </c>
      <c r="Q57" s="160">
        <f>+S57*V57</f>
        <v>3984.6336000000001</v>
      </c>
      <c r="R57" s="17"/>
      <c r="S57" s="2024">
        <v>1169.2</v>
      </c>
      <c r="T57" s="1174"/>
      <c r="U57" s="1175">
        <v>3.9910000000000001</v>
      </c>
      <c r="V57" s="1176">
        <v>3.4079999999999999</v>
      </c>
      <c r="W57" s="341"/>
      <c r="X57" s="1176">
        <v>2.4670000000000001</v>
      </c>
      <c r="Y57" s="1176">
        <v>2.23</v>
      </c>
      <c r="Z57" s="1176">
        <v>2.0579999999999998</v>
      </c>
      <c r="AA57" s="1420">
        <v>2.02</v>
      </c>
      <c r="AB57" s="1176">
        <v>1.61</v>
      </c>
      <c r="AC57" s="1176">
        <v>1.4590000000000001</v>
      </c>
      <c r="AD57" s="1176">
        <v>1.5089999999999999</v>
      </c>
      <c r="AE57" s="1176">
        <v>1.0549999999999999</v>
      </c>
      <c r="AF57" s="1176">
        <v>0.85599999999999998</v>
      </c>
      <c r="AG57" s="1176">
        <v>0.84319999999999995</v>
      </c>
      <c r="AH57" s="1176">
        <v>1.0625</v>
      </c>
      <c r="AI57" s="1176">
        <v>0.89139999999999997</v>
      </c>
      <c r="AJ57" s="1176">
        <v>0.81</v>
      </c>
      <c r="AK57" s="1176">
        <v>0.85</v>
      </c>
      <c r="AL57" s="1177">
        <v>0.72499999999999998</v>
      </c>
      <c r="AM57" s="1178">
        <v>0.5786</v>
      </c>
      <c r="AN57" s="1179">
        <v>0.38</v>
      </c>
      <c r="AO57" s="1180">
        <v>0.41</v>
      </c>
      <c r="AP57" s="1181">
        <v>0.4</v>
      </c>
      <c r="AQ57" s="58"/>
      <c r="AR57" s="1182">
        <v>0.91500000000000004</v>
      </c>
      <c r="AS57" s="257">
        <f>+AR57*S57*C57</f>
        <v>1247.5147697999998</v>
      </c>
      <c r="AT57" s="2021" t="s">
        <v>2360</v>
      </c>
      <c r="AU57" t="s">
        <v>1825</v>
      </c>
      <c r="BB57" t="s">
        <v>10</v>
      </c>
      <c r="BC57" t="s">
        <v>10</v>
      </c>
    </row>
    <row r="58" spans="2:55">
      <c r="B58" s="80" t="s">
        <v>20</v>
      </c>
      <c r="C58" s="80">
        <v>1</v>
      </c>
      <c r="D58" s="30">
        <v>1</v>
      </c>
      <c r="E58" s="58" t="s">
        <v>1402</v>
      </c>
      <c r="F58" s="60" t="s">
        <v>1392</v>
      </c>
      <c r="G58" s="1365">
        <v>0.45300000000000001</v>
      </c>
      <c r="H58" s="69"/>
      <c r="I58" s="2059">
        <f t="shared" ref="I58:I59" si="36">+C58*P58</f>
        <v>1838.9340000000002</v>
      </c>
      <c r="J58" s="2060">
        <f t="shared" ref="J58:J59" si="37">+D58*Q58</f>
        <v>1838.9340000000002</v>
      </c>
      <c r="K58" s="75"/>
      <c r="L58" s="67"/>
      <c r="M58" s="2061">
        <f>2097.4-1070.5</f>
        <v>1026.9000000000001</v>
      </c>
      <c r="N58" s="75"/>
      <c r="O58" s="58" t="s">
        <v>20</v>
      </c>
      <c r="P58" s="144">
        <f t="shared" ref="P58:P59" si="38">+S58*U58</f>
        <v>1838.9340000000002</v>
      </c>
      <c r="Q58" s="144">
        <f t="shared" ref="Q58:Q59" si="39">+S58*V58</f>
        <v>1838.9340000000002</v>
      </c>
      <c r="R58" s="85"/>
      <c r="S58" s="1824">
        <v>64.98</v>
      </c>
      <c r="T58" s="31"/>
      <c r="U58" s="2058">
        <v>28.3</v>
      </c>
      <c r="V58" s="2058">
        <v>28.3</v>
      </c>
      <c r="W58" s="162"/>
      <c r="X58" s="162"/>
      <c r="Y58" s="162"/>
      <c r="Z58" s="162"/>
      <c r="AA58" s="192"/>
      <c r="AB58" s="162"/>
      <c r="AC58" s="162"/>
      <c r="AD58" s="162"/>
      <c r="AE58" s="162"/>
      <c r="AF58" s="162">
        <v>13.89</v>
      </c>
      <c r="AG58" s="162">
        <v>10.71</v>
      </c>
      <c r="AH58" s="162">
        <v>14.68</v>
      </c>
      <c r="AI58" s="162">
        <v>14.18</v>
      </c>
      <c r="AJ58" s="162">
        <v>15.19</v>
      </c>
      <c r="AK58" s="162">
        <v>14.25</v>
      </c>
      <c r="AL58" s="162">
        <v>13.65</v>
      </c>
      <c r="AM58" s="192">
        <v>10.84</v>
      </c>
      <c r="AN58" s="110">
        <v>8.94</v>
      </c>
      <c r="AO58" s="110">
        <v>7.6</v>
      </c>
      <c r="AP58" s="181">
        <v>7.69</v>
      </c>
      <c r="AR58" s="136">
        <v>14.21</v>
      </c>
      <c r="AS58" s="105">
        <f>+AR58*S58*C58</f>
        <v>923.36580000000015</v>
      </c>
      <c r="AT58" s="2062" t="s">
        <v>2452</v>
      </c>
      <c r="AV58" t="s">
        <v>916</v>
      </c>
      <c r="BB58" t="s">
        <v>926</v>
      </c>
      <c r="BC58" t="s">
        <v>13</v>
      </c>
    </row>
    <row r="59" spans="2:55">
      <c r="B59" s="80" t="s">
        <v>20</v>
      </c>
      <c r="C59" s="80">
        <v>1</v>
      </c>
      <c r="D59" s="30">
        <v>1</v>
      </c>
      <c r="E59" s="58" t="s">
        <v>1402</v>
      </c>
      <c r="F59" s="60" t="s">
        <v>104</v>
      </c>
      <c r="G59" s="261">
        <v>0.49299999999999999</v>
      </c>
      <c r="I59" s="345">
        <f t="shared" si="36"/>
        <v>591.50699999999995</v>
      </c>
      <c r="J59" s="344">
        <f t="shared" si="37"/>
        <v>591.50699999999995</v>
      </c>
      <c r="K59" s="75"/>
      <c r="L59" s="67"/>
      <c r="M59" s="2057">
        <v>540.9</v>
      </c>
      <c r="N59" s="75"/>
      <c r="O59" s="58"/>
      <c r="P59" s="144">
        <f t="shared" si="38"/>
        <v>591.50699999999995</v>
      </c>
      <c r="Q59" s="144">
        <f t="shared" si="39"/>
        <v>591.50699999999995</v>
      </c>
      <c r="R59" s="85"/>
      <c r="S59" s="88">
        <v>22.9</v>
      </c>
      <c r="T59" s="31"/>
      <c r="U59" s="1541">
        <v>25.83</v>
      </c>
      <c r="V59" s="1541">
        <v>25.83</v>
      </c>
      <c r="W59" s="162"/>
      <c r="X59" s="162"/>
      <c r="Y59" s="162"/>
      <c r="Z59" s="162"/>
      <c r="AA59" s="192"/>
      <c r="AB59" s="162"/>
      <c r="AC59" s="162"/>
      <c r="AD59" s="162"/>
      <c r="AE59" s="162"/>
      <c r="AF59" s="162"/>
      <c r="AG59" s="162"/>
      <c r="AH59" s="162"/>
      <c r="AI59" s="162"/>
      <c r="AJ59" s="162"/>
      <c r="AK59" s="162"/>
      <c r="AL59" s="162"/>
      <c r="AM59" s="192"/>
      <c r="AN59" s="110"/>
      <c r="AO59" s="110"/>
      <c r="AP59" s="181"/>
      <c r="AR59" s="136"/>
      <c r="AS59" s="105"/>
      <c r="AT59" s="2022" t="s">
        <v>2360</v>
      </c>
      <c r="AU59" t="s">
        <v>1393</v>
      </c>
    </row>
    <row r="60" spans="2:55">
      <c r="B60" s="80" t="s">
        <v>25</v>
      </c>
      <c r="C60" s="80">
        <f>+C8</f>
        <v>0.7248</v>
      </c>
      <c r="D60" s="84">
        <f>+D8</f>
        <v>0.71799999999999997</v>
      </c>
      <c r="E60" s="30" t="s">
        <v>2355</v>
      </c>
      <c r="F60" s="100" t="s">
        <v>2354</v>
      </c>
      <c r="G60" s="309">
        <v>0.75700000000000001</v>
      </c>
      <c r="H60" s="507"/>
      <c r="I60" s="183">
        <f t="shared" ref="I60" si="40">+C60*P60</f>
        <v>395.74079999999998</v>
      </c>
      <c r="J60" s="184">
        <f t="shared" ref="J60" si="41">+D60*Q60</f>
        <v>444.29839999999996</v>
      </c>
      <c r="K60" s="184">
        <f>+I60-J60</f>
        <v>-48.557599999999979</v>
      </c>
      <c r="L60" s="67">
        <f>+K60/J60</f>
        <v>-0.10929051286252658</v>
      </c>
      <c r="M60" s="2057">
        <v>441.4</v>
      </c>
      <c r="N60" s="199"/>
      <c r="O60" s="58" t="s">
        <v>25</v>
      </c>
      <c r="P60" s="144">
        <f>+S60*U60</f>
        <v>546</v>
      </c>
      <c r="Q60" s="144">
        <f t="shared" ref="Q60" si="42">+S60*V60</f>
        <v>618.79999999999995</v>
      </c>
      <c r="R60" s="187"/>
      <c r="S60" s="2017">
        <v>70</v>
      </c>
      <c r="T60" s="80"/>
      <c r="U60" s="166">
        <v>7.8</v>
      </c>
      <c r="V60" s="192">
        <v>8.84</v>
      </c>
      <c r="W60" s="192"/>
      <c r="X60" s="192">
        <v>24.76</v>
      </c>
      <c r="Y60" s="192">
        <v>26.62</v>
      </c>
      <c r="Z60" s="192">
        <v>26.04</v>
      </c>
      <c r="AA60" s="192">
        <v>21.19</v>
      </c>
      <c r="AB60" s="192">
        <v>18.440000000000001</v>
      </c>
      <c r="AC60" s="192">
        <v>21.96</v>
      </c>
      <c r="AD60" s="192">
        <v>21.9</v>
      </c>
      <c r="AE60" s="192">
        <v>22.21</v>
      </c>
      <c r="AF60" s="192">
        <v>19.399999999999999</v>
      </c>
      <c r="AG60" s="192">
        <v>18.14</v>
      </c>
      <c r="AH60" s="192">
        <v>24.1</v>
      </c>
      <c r="AI60" s="192">
        <v>17.41</v>
      </c>
      <c r="AJ60" s="192">
        <v>15.57</v>
      </c>
      <c r="AK60" s="192">
        <v>17.03</v>
      </c>
      <c r="AL60" s="192">
        <v>15.01</v>
      </c>
      <c r="AM60" s="192">
        <v>15</v>
      </c>
      <c r="AN60" s="147"/>
      <c r="AO60" s="280" t="s">
        <v>79</v>
      </c>
      <c r="AP60" s="95"/>
      <c r="AQ60" s="58"/>
      <c r="AR60" s="105"/>
      <c r="AS60" s="105"/>
      <c r="AT60" s="356" t="s">
        <v>2356</v>
      </c>
      <c r="AU60" s="325"/>
      <c r="AW60" s="211"/>
    </row>
    <row r="61" spans="2:55" ht="17">
      <c r="B61" s="80" t="s">
        <v>76</v>
      </c>
      <c r="C61" s="838">
        <v>3.0300000000000001E-3</v>
      </c>
      <c r="D61" s="80">
        <v>3.1700000000000001E-3</v>
      </c>
      <c r="E61" s="7" t="s">
        <v>77</v>
      </c>
      <c r="F61" s="60" t="s">
        <v>75</v>
      </c>
      <c r="G61" s="295">
        <v>0.26500000000000001</v>
      </c>
      <c r="H61" s="69"/>
      <c r="I61" s="74">
        <f>+C61*P61</f>
        <v>287.66820000000001</v>
      </c>
      <c r="J61" s="75">
        <f>+D61*Q61</f>
        <v>274.14159999999998</v>
      </c>
      <c r="K61" s="75">
        <f>+I61-J61</f>
        <v>13.52660000000003</v>
      </c>
      <c r="L61" s="67">
        <f>+K61/J61</f>
        <v>4.9341654094088715E-2</v>
      </c>
      <c r="M61" s="1343">
        <v>199</v>
      </c>
      <c r="N61" s="107"/>
      <c r="O61" s="58" t="s">
        <v>76</v>
      </c>
      <c r="P61" s="144">
        <f>+S61*U61</f>
        <v>94940</v>
      </c>
      <c r="Q61" s="144">
        <f>+S61*V61</f>
        <v>86480</v>
      </c>
      <c r="R61" s="86"/>
      <c r="S61" s="2023">
        <v>4700</v>
      </c>
      <c r="T61" s="89"/>
      <c r="U61" s="166">
        <v>20.2</v>
      </c>
      <c r="V61" s="192">
        <v>18.399999999999999</v>
      </c>
      <c r="W61" s="192"/>
      <c r="X61" s="192">
        <v>20.2</v>
      </c>
      <c r="Y61" s="192">
        <v>22.6</v>
      </c>
      <c r="Z61" s="192">
        <v>17.899999999999999</v>
      </c>
      <c r="AA61" s="192">
        <v>203.75</v>
      </c>
      <c r="AB61" s="192">
        <v>191</v>
      </c>
      <c r="AC61" s="192">
        <v>192.5</v>
      </c>
      <c r="AD61" s="192">
        <v>149.75</v>
      </c>
      <c r="AE61" s="192">
        <v>135.25</v>
      </c>
      <c r="AF61" s="192">
        <v>137.25</v>
      </c>
      <c r="AG61" s="192">
        <v>122</v>
      </c>
      <c r="AH61" s="192">
        <v>145</v>
      </c>
      <c r="AI61" s="192">
        <v>150</v>
      </c>
      <c r="AJ61" s="192">
        <v>149.75</v>
      </c>
      <c r="AK61" s="192">
        <v>135.25</v>
      </c>
      <c r="AL61" s="192">
        <v>149.5</v>
      </c>
      <c r="AM61" s="192">
        <v>149.6</v>
      </c>
      <c r="AN61" s="147">
        <v>134.6</v>
      </c>
      <c r="AO61" s="110">
        <v>64.540000000000006</v>
      </c>
      <c r="AP61" s="164">
        <v>58.77</v>
      </c>
      <c r="AR61" s="136"/>
      <c r="AS61" s="105"/>
      <c r="AT61" s="356" t="s">
        <v>2296</v>
      </c>
      <c r="AU61" s="1472" t="s">
        <v>1990</v>
      </c>
      <c r="AW61" s="1965" t="s">
        <v>2297</v>
      </c>
      <c r="AX61" s="691"/>
    </row>
    <row r="62" spans="2:55">
      <c r="B62" s="80" t="s">
        <v>20</v>
      </c>
      <c r="C62" s="80">
        <v>1</v>
      </c>
      <c r="D62" s="30">
        <v>1</v>
      </c>
      <c r="E62" s="58" t="s">
        <v>1402</v>
      </c>
      <c r="F62" s="60" t="s">
        <v>106</v>
      </c>
      <c r="G62" s="261"/>
      <c r="I62" s="345">
        <v>300</v>
      </c>
      <c r="J62" s="344">
        <v>300</v>
      </c>
      <c r="K62" s="75"/>
      <c r="L62" s="67"/>
      <c r="M62" s="1343">
        <v>300</v>
      </c>
      <c r="N62" s="75"/>
      <c r="O62" s="58"/>
      <c r="P62" s="144"/>
      <c r="Q62" s="144"/>
      <c r="R62" s="85"/>
      <c r="S62" s="146"/>
      <c r="T62" s="31"/>
      <c r="U62" s="162"/>
      <c r="V62" s="162"/>
      <c r="W62" s="162"/>
      <c r="X62" s="162"/>
      <c r="Y62" s="162"/>
      <c r="Z62" s="162"/>
      <c r="AA62" s="192"/>
      <c r="AB62" s="162"/>
      <c r="AC62" s="162"/>
      <c r="AD62" s="162"/>
      <c r="AE62" s="162"/>
      <c r="AF62" s="162"/>
      <c r="AG62" s="162"/>
      <c r="AH62" s="162"/>
      <c r="AI62" s="162"/>
      <c r="AJ62" s="162"/>
      <c r="AK62" s="162"/>
      <c r="AL62" s="162"/>
      <c r="AM62" s="192"/>
      <c r="AN62" s="110"/>
      <c r="AO62" s="110"/>
      <c r="AP62" s="181"/>
      <c r="AR62" s="136"/>
      <c r="AS62" s="105"/>
      <c r="AT62" s="356" t="s">
        <v>2360</v>
      </c>
      <c r="AZ62" t="str">
        <f>+F76</f>
        <v>Fairfax India</v>
      </c>
      <c r="BA62" s="152">
        <f>+G76</f>
        <v>0.42699999999999999</v>
      </c>
      <c r="BB62" s="211">
        <f>+I76</f>
        <v>1019.52</v>
      </c>
      <c r="BC62" s="211">
        <f>+M76</f>
        <v>724.60800000000006</v>
      </c>
    </row>
    <row r="63" spans="2:55">
      <c r="B63" s="80" t="s">
        <v>24</v>
      </c>
      <c r="C63" s="838">
        <v>1.0529999999999999E-2</v>
      </c>
      <c r="D63" s="80">
        <v>1.0699999999999999E-2</v>
      </c>
      <c r="E63" s="58" t="s">
        <v>34</v>
      </c>
      <c r="F63" s="60" t="s">
        <v>4</v>
      </c>
      <c r="G63" s="261">
        <v>0.34799999999999998</v>
      </c>
      <c r="I63" s="183">
        <f t="shared" ref="I63:I65" si="43">+C63*P63</f>
        <v>113.77707120000001</v>
      </c>
      <c r="J63" s="184">
        <f t="shared" ref="J63:J69" si="44">+D63*Q63</f>
        <v>93.225461999999993</v>
      </c>
      <c r="K63" s="184">
        <f t="shared" ref="K63" si="45">+I63-J63</f>
        <v>20.551609200000016</v>
      </c>
      <c r="L63" s="219">
        <f t="shared" ref="L63" si="46">+K63/J63</f>
        <v>0.22045060178945552</v>
      </c>
      <c r="M63" s="1343">
        <v>197.6</v>
      </c>
      <c r="N63" s="75"/>
      <c r="O63" s="58" t="s">
        <v>24</v>
      </c>
      <c r="P63" s="144">
        <f t="shared" ref="P63:P69" si="47">+S63*U63</f>
        <v>10805.04</v>
      </c>
      <c r="Q63" s="144">
        <f t="shared" ref="Q63:Q69" si="48">+S63*V63</f>
        <v>8712.66</v>
      </c>
      <c r="R63" s="85"/>
      <c r="S63" s="88">
        <v>51.6</v>
      </c>
      <c r="T63" s="31"/>
      <c r="U63" s="1119">
        <v>209.4</v>
      </c>
      <c r="V63" s="1183">
        <v>168.85</v>
      </c>
      <c r="W63" s="1183"/>
      <c r="X63" s="1555">
        <v>310.55</v>
      </c>
      <c r="Y63" s="1183">
        <v>661.9</v>
      </c>
      <c r="Z63" s="1183">
        <v>774.75</v>
      </c>
      <c r="AA63" s="1421">
        <v>602.25</v>
      </c>
      <c r="AB63" s="1183">
        <v>522.6</v>
      </c>
      <c r="AC63" s="1120">
        <v>418.7</v>
      </c>
      <c r="AD63" s="162">
        <v>449.8</v>
      </c>
      <c r="AE63" s="162">
        <v>413.4</v>
      </c>
      <c r="AF63" s="162">
        <v>643.5</v>
      </c>
      <c r="AG63" s="162">
        <v>605.15</v>
      </c>
      <c r="AH63" s="162">
        <v>658.15</v>
      </c>
      <c r="AI63" s="162">
        <v>855</v>
      </c>
      <c r="AJ63" s="162">
        <v>919.55</v>
      </c>
      <c r="AK63" s="162">
        <v>817.55</v>
      </c>
      <c r="AL63" s="162">
        <v>696</v>
      </c>
      <c r="AM63" s="192">
        <v>546.29999999999995</v>
      </c>
      <c r="AN63" s="110">
        <v>413</v>
      </c>
      <c r="AO63" s="110">
        <v>366.25</v>
      </c>
      <c r="AP63" s="181">
        <v>211.55</v>
      </c>
      <c r="AR63" s="136">
        <v>483.6</v>
      </c>
      <c r="AS63" s="105">
        <f>+AR63*S63*C63</f>
        <v>262.76309279999998</v>
      </c>
      <c r="AT63" s="2022" t="s">
        <v>2360</v>
      </c>
      <c r="AU63" t="s">
        <v>1376</v>
      </c>
      <c r="AV63">
        <f>148.48*0.3406</f>
        <v>50.572288</v>
      </c>
      <c r="AZ63" t="str">
        <f>+F63</f>
        <v>Quess</v>
      </c>
      <c r="BA63" s="152">
        <f>+G63</f>
        <v>0.34799999999999998</v>
      </c>
      <c r="BB63" s="211">
        <f>+I63</f>
        <v>113.77707120000001</v>
      </c>
      <c r="BC63" s="211">
        <f>+M63</f>
        <v>197.6</v>
      </c>
    </row>
    <row r="64" spans="2:55">
      <c r="B64" s="80" t="s">
        <v>24</v>
      </c>
      <c r="C64" s="80">
        <f>+C63</f>
        <v>1.0529999999999999E-2</v>
      </c>
      <c r="D64" s="30">
        <f>+D63</f>
        <v>1.0699999999999999E-2</v>
      </c>
      <c r="E64" s="58" t="s">
        <v>2024</v>
      </c>
      <c r="F64" s="60" t="s">
        <v>1977</v>
      </c>
      <c r="G64" s="261">
        <v>0.34799999999999998</v>
      </c>
      <c r="I64" s="74">
        <f t="shared" si="43"/>
        <v>46.629872639999995</v>
      </c>
      <c r="J64" s="75">
        <f t="shared" si="44"/>
        <v>41.077043200000006</v>
      </c>
      <c r="K64" s="75">
        <f t="shared" ref="K64:K69" si="49">+I64-J64</f>
        <v>5.5528294399999893</v>
      </c>
      <c r="L64" s="67">
        <f t="shared" ref="L64:L69" si="50">+K64/J64</f>
        <v>0.13518084573331676</v>
      </c>
      <c r="M64" s="199"/>
      <c r="N64" s="75"/>
      <c r="O64" s="58" t="s">
        <v>24</v>
      </c>
      <c r="P64" s="144">
        <f t="shared" si="47"/>
        <v>4428.2879999999996</v>
      </c>
      <c r="Q64" s="144">
        <f t="shared" si="48"/>
        <v>3838.9760000000006</v>
      </c>
      <c r="R64" s="85"/>
      <c r="S64" s="88">
        <v>51.2</v>
      </c>
      <c r="T64" s="31"/>
      <c r="U64" s="2055">
        <v>86.49</v>
      </c>
      <c r="V64" s="1183">
        <v>74.98</v>
      </c>
      <c r="W64" s="1183"/>
      <c r="X64" s="1555">
        <v>232.75</v>
      </c>
      <c r="Y64" s="1183">
        <v>331.75</v>
      </c>
      <c r="Z64" s="1183">
        <v>345.1</v>
      </c>
      <c r="AA64" s="1421">
        <v>211.05</v>
      </c>
      <c r="AB64" s="1183">
        <v>146.69999999999999</v>
      </c>
      <c r="AC64" s="1120">
        <v>87</v>
      </c>
      <c r="AD64" s="162">
        <v>61</v>
      </c>
      <c r="AE64" s="162">
        <v>64.45</v>
      </c>
      <c r="AF64" s="162">
        <v>66.2</v>
      </c>
      <c r="AG64" s="162">
        <v>69</v>
      </c>
      <c r="AH64" s="162">
        <v>88.65</v>
      </c>
      <c r="AI64" s="162">
        <v>91.05</v>
      </c>
      <c r="AJ64" s="162">
        <v>97.65</v>
      </c>
      <c r="AK64" s="162">
        <v>74.650000000000006</v>
      </c>
      <c r="AL64" s="162">
        <v>46.8</v>
      </c>
      <c r="AM64" s="192">
        <v>48.05</v>
      </c>
      <c r="AN64" s="110">
        <v>38.799999999999997</v>
      </c>
      <c r="AO64" s="110">
        <v>42.85</v>
      </c>
      <c r="AP64" s="164">
        <v>31.05</v>
      </c>
      <c r="AR64" s="136">
        <v>40.85</v>
      </c>
      <c r="AS64" s="105">
        <f>+AR64*S64*C64</f>
        <v>22.0237056</v>
      </c>
      <c r="AT64" s="2022" t="s">
        <v>2361</v>
      </c>
      <c r="AU64">
        <v>148.94999999999999</v>
      </c>
      <c r="AV64" t="s">
        <v>27</v>
      </c>
    </row>
    <row r="65" spans="1:48">
      <c r="B65" s="80" t="s">
        <v>24</v>
      </c>
      <c r="C65" s="80">
        <f>+C63</f>
        <v>1.0529999999999999E-2</v>
      </c>
      <c r="D65" s="30">
        <f>+D63</f>
        <v>1.0699999999999999E-2</v>
      </c>
      <c r="E65" s="58" t="s">
        <v>2025</v>
      </c>
      <c r="F65" s="60" t="s">
        <v>2064</v>
      </c>
      <c r="G65" s="261">
        <v>0.34799999999999998</v>
      </c>
      <c r="I65" s="74">
        <f t="shared" si="43"/>
        <v>42.75887616</v>
      </c>
      <c r="J65" s="75">
        <f t="shared" si="44"/>
        <v>27.928883199999998</v>
      </c>
      <c r="K65" s="75">
        <f t="shared" si="49"/>
        <v>14.829992960000002</v>
      </c>
      <c r="L65" s="67">
        <f t="shared" si="50"/>
        <v>0.53099126283717646</v>
      </c>
      <c r="M65" s="199"/>
      <c r="N65" s="75"/>
      <c r="O65" s="58" t="s">
        <v>24</v>
      </c>
      <c r="P65" s="144">
        <f t="shared" si="47"/>
        <v>4060.6720000000005</v>
      </c>
      <c r="Q65" s="144">
        <f t="shared" si="48"/>
        <v>2610.1759999999999</v>
      </c>
      <c r="R65" s="85"/>
      <c r="S65" s="88">
        <v>51.2</v>
      </c>
      <c r="T65" s="31"/>
      <c r="U65" s="2055">
        <v>79.31</v>
      </c>
      <c r="V65" s="1183">
        <v>50.98</v>
      </c>
      <c r="W65" s="1183"/>
      <c r="X65" s="1555">
        <v>82.65</v>
      </c>
      <c r="Y65" s="1183">
        <v>331.75</v>
      </c>
      <c r="Z65" s="1183">
        <v>345.1</v>
      </c>
      <c r="AA65" s="1421">
        <v>211.05</v>
      </c>
      <c r="AB65" s="1183">
        <v>146.69999999999999</v>
      </c>
      <c r="AC65" s="1120">
        <v>87</v>
      </c>
      <c r="AD65" s="162">
        <v>61</v>
      </c>
      <c r="AE65" s="162">
        <v>64.45</v>
      </c>
      <c r="AF65" s="162">
        <v>66.2</v>
      </c>
      <c r="AG65" s="162">
        <v>69</v>
      </c>
      <c r="AH65" s="162">
        <v>88.65</v>
      </c>
      <c r="AI65" s="162">
        <v>91.05</v>
      </c>
      <c r="AJ65" s="162">
        <v>97.65</v>
      </c>
      <c r="AK65" s="162">
        <v>74.650000000000006</v>
      </c>
      <c r="AL65" s="162">
        <v>46.8</v>
      </c>
      <c r="AM65" s="192">
        <v>48.05</v>
      </c>
      <c r="AN65" s="110">
        <v>38.799999999999997</v>
      </c>
      <c r="AO65" s="110">
        <v>42.85</v>
      </c>
      <c r="AP65" s="164">
        <v>31.05</v>
      </c>
      <c r="AR65" s="136">
        <v>40.85</v>
      </c>
      <c r="AS65" s="105">
        <f>+AR65*S65*C65</f>
        <v>22.0237056</v>
      </c>
      <c r="AT65" s="2022" t="s">
        <v>2361</v>
      </c>
      <c r="AU65">
        <v>148.94999999999999</v>
      </c>
      <c r="AV65" t="s">
        <v>27</v>
      </c>
    </row>
    <row r="66" spans="1:48">
      <c r="B66" s="80" t="s">
        <v>58</v>
      </c>
      <c r="C66" s="838">
        <v>0.27560000000000001</v>
      </c>
      <c r="D66" s="80">
        <v>0.26900000000000002</v>
      </c>
      <c r="E66" s="58" t="s">
        <v>1276</v>
      </c>
      <c r="F66" s="60" t="s">
        <v>56</v>
      </c>
      <c r="G66" s="1200">
        <v>0.3</v>
      </c>
      <c r="I66" s="74">
        <f t="shared" ref="I66" si="51">+C66*P66</f>
        <v>97.975800000000007</v>
      </c>
      <c r="J66" s="75">
        <f t="shared" si="44"/>
        <v>97.84875000000001</v>
      </c>
      <c r="K66" s="75">
        <f t="shared" si="49"/>
        <v>0.127049999999997</v>
      </c>
      <c r="L66" s="67">
        <f t="shared" si="50"/>
        <v>1.2984325297972327E-3</v>
      </c>
      <c r="M66" s="199"/>
      <c r="N66" s="75"/>
      <c r="O66" s="58" t="s">
        <v>58</v>
      </c>
      <c r="P66" s="144">
        <f t="shared" si="47"/>
        <v>355.5</v>
      </c>
      <c r="Q66" s="144">
        <f t="shared" si="48"/>
        <v>363.75</v>
      </c>
      <c r="R66" s="85"/>
      <c r="S66" s="88">
        <v>7.5</v>
      </c>
      <c r="U66" s="94">
        <v>47.4</v>
      </c>
      <c r="V66" s="162">
        <v>48.5</v>
      </c>
      <c r="W66" s="162"/>
      <c r="X66" s="162">
        <v>53.1</v>
      </c>
      <c r="Y66" s="162">
        <v>40.799999999999997</v>
      </c>
      <c r="Z66" s="162">
        <v>31.5</v>
      </c>
      <c r="AA66" s="192">
        <v>28.95</v>
      </c>
      <c r="AB66" s="162">
        <v>28.7</v>
      </c>
      <c r="AC66" s="162">
        <v>30.3</v>
      </c>
      <c r="AD66" s="162">
        <v>30</v>
      </c>
      <c r="AE66" s="162">
        <v>20.399999999999999</v>
      </c>
      <c r="AF66" s="162">
        <v>20.8</v>
      </c>
      <c r="AG66" s="162">
        <v>19.8</v>
      </c>
      <c r="AH66" s="162">
        <v>26.2</v>
      </c>
      <c r="AI66" s="162">
        <v>42.4</v>
      </c>
      <c r="AJ66" s="162">
        <v>48.8</v>
      </c>
      <c r="AK66" s="162">
        <v>49.5</v>
      </c>
      <c r="AL66" s="162">
        <v>40</v>
      </c>
      <c r="AM66" s="192">
        <v>26.2</v>
      </c>
      <c r="AN66" s="110">
        <v>17.05</v>
      </c>
      <c r="AO66" s="110"/>
      <c r="AP66" s="181"/>
      <c r="AR66" s="136">
        <v>16</v>
      </c>
      <c r="AS66" s="105">
        <f>+AR66*S66*C66</f>
        <v>33.072000000000003</v>
      </c>
      <c r="AT66" s="356" t="s">
        <v>1867</v>
      </c>
      <c r="AU66">
        <v>24.31</v>
      </c>
    </row>
    <row r="67" spans="1:48">
      <c r="A67" s="154"/>
      <c r="B67" s="155" t="s">
        <v>20</v>
      </c>
      <c r="C67" s="155">
        <v>1</v>
      </c>
      <c r="D67" s="104">
        <v>1</v>
      </c>
      <c r="E67" s="168" t="s">
        <v>74</v>
      </c>
      <c r="F67" s="260" t="s">
        <v>73</v>
      </c>
      <c r="G67" s="1201">
        <v>0.36</v>
      </c>
      <c r="H67" s="154"/>
      <c r="I67" s="183">
        <f>+C67*P67</f>
        <v>63.036999999999992</v>
      </c>
      <c r="J67" s="184">
        <f t="shared" si="44"/>
        <v>91.385000000000005</v>
      </c>
      <c r="K67" s="184">
        <f t="shared" si="49"/>
        <v>-28.348000000000013</v>
      </c>
      <c r="L67" s="219">
        <f t="shared" si="50"/>
        <v>-0.31020408163265317</v>
      </c>
      <c r="M67" s="1344">
        <v>163</v>
      </c>
      <c r="N67" s="262"/>
      <c r="O67" s="168" t="s">
        <v>20</v>
      </c>
      <c r="P67" s="144">
        <f t="shared" si="47"/>
        <v>63.036999999999992</v>
      </c>
      <c r="Q67" s="144">
        <f t="shared" si="48"/>
        <v>91.385000000000005</v>
      </c>
      <c r="R67" s="167"/>
      <c r="S67" s="645">
        <v>37.299999999999997</v>
      </c>
      <c r="T67" s="188">
        <v>5.25</v>
      </c>
      <c r="U67" s="190">
        <v>1.69</v>
      </c>
      <c r="V67" s="189">
        <v>2.4500000000000002</v>
      </c>
      <c r="W67" s="189"/>
      <c r="X67" s="189">
        <v>2.2999999999999998</v>
      </c>
      <c r="Y67" s="189">
        <v>1.96</v>
      </c>
      <c r="Z67" s="189">
        <v>2.48</v>
      </c>
      <c r="AA67" s="189">
        <v>2.5099999999999998</v>
      </c>
      <c r="AB67" s="189">
        <v>2.5499999999999998</v>
      </c>
      <c r="AC67" s="189">
        <v>2.93</v>
      </c>
      <c r="AD67" s="189">
        <v>2.8</v>
      </c>
      <c r="AE67" s="189">
        <v>2.85</v>
      </c>
      <c r="AF67" s="189">
        <v>2.42</v>
      </c>
      <c r="AG67" s="189">
        <v>2.91</v>
      </c>
      <c r="AH67" s="189">
        <v>3.58</v>
      </c>
      <c r="AI67" s="189">
        <v>3.37</v>
      </c>
      <c r="AJ67" s="189">
        <v>3.75</v>
      </c>
      <c r="AK67" s="189">
        <v>4.6100000000000003</v>
      </c>
      <c r="AL67" s="189">
        <v>4.5599999999999996</v>
      </c>
      <c r="AM67" s="189">
        <v>5.25</v>
      </c>
      <c r="AN67" s="104"/>
      <c r="AO67" s="105"/>
      <c r="AP67" s="180"/>
      <c r="AQ67" s="263">
        <v>8.11</v>
      </c>
      <c r="AR67" s="156"/>
      <c r="AS67" s="1697"/>
      <c r="AT67" s="356" t="s">
        <v>2360</v>
      </c>
      <c r="AU67">
        <v>53.67</v>
      </c>
      <c r="AV67" t="s">
        <v>27</v>
      </c>
    </row>
    <row r="68" spans="1:48">
      <c r="B68" s="80" t="s">
        <v>24</v>
      </c>
      <c r="C68" s="80">
        <f>+C63</f>
        <v>1.0529999999999999E-2</v>
      </c>
      <c r="D68" s="30">
        <f>+D63</f>
        <v>1.0699999999999999E-2</v>
      </c>
      <c r="E68" s="58" t="s">
        <v>2026</v>
      </c>
      <c r="F68" s="60" t="s">
        <v>1973</v>
      </c>
      <c r="G68" s="823">
        <v>3.3799999999999997E-2</v>
      </c>
      <c r="I68" s="74">
        <f>+C68*P68</f>
        <v>37.033325550000001</v>
      </c>
      <c r="J68" s="75">
        <f t="shared" si="44"/>
        <v>26.880219</v>
      </c>
      <c r="K68" s="75">
        <f t="shared" si="49"/>
        <v>10.15310655</v>
      </c>
      <c r="L68" s="67">
        <f t="shared" si="50"/>
        <v>0.37771666034417356</v>
      </c>
      <c r="M68" s="107"/>
      <c r="N68" s="75"/>
      <c r="O68" s="58" t="s">
        <v>24</v>
      </c>
      <c r="P68" s="144">
        <f t="shared" si="47"/>
        <v>3516.9349999999999</v>
      </c>
      <c r="Q68" s="144">
        <f t="shared" si="48"/>
        <v>2512.17</v>
      </c>
      <c r="R68" s="85"/>
      <c r="S68" s="88">
        <v>10.3</v>
      </c>
      <c r="T68" s="31"/>
      <c r="U68" s="1119">
        <v>341.45</v>
      </c>
      <c r="V68" s="1183">
        <v>243.9</v>
      </c>
      <c r="W68" s="1183"/>
      <c r="X68" s="1183">
        <v>216.05</v>
      </c>
      <c r="Y68" s="1183">
        <v>331.75</v>
      </c>
      <c r="Z68" s="1183">
        <v>345.1</v>
      </c>
      <c r="AA68" s="1421">
        <v>211.05</v>
      </c>
      <c r="AB68" s="1183">
        <v>146.69999999999999</v>
      </c>
      <c r="AC68" s="1120">
        <v>87</v>
      </c>
      <c r="AD68" s="162">
        <v>61</v>
      </c>
      <c r="AE68" s="162">
        <v>64.45</v>
      </c>
      <c r="AF68" s="162">
        <v>66.2</v>
      </c>
      <c r="AG68" s="162">
        <v>69</v>
      </c>
      <c r="AH68" s="162">
        <v>88.65</v>
      </c>
      <c r="AI68" s="162">
        <v>91.05</v>
      </c>
      <c r="AJ68" s="162">
        <v>97.65</v>
      </c>
      <c r="AK68" s="162">
        <v>74.650000000000006</v>
      </c>
      <c r="AL68" s="162">
        <v>46.8</v>
      </c>
      <c r="AM68" s="192">
        <v>48.05</v>
      </c>
      <c r="AN68" s="110">
        <v>38.799999999999997</v>
      </c>
      <c r="AO68" s="110">
        <v>42.85</v>
      </c>
      <c r="AP68" s="164">
        <v>31.05</v>
      </c>
      <c r="AR68" s="136">
        <v>40.85</v>
      </c>
      <c r="AS68" s="105">
        <f>+AR68*S68*C68</f>
        <v>4.4305501500000002</v>
      </c>
      <c r="AT68" s="356" t="s">
        <v>2360</v>
      </c>
      <c r="AU68">
        <v>319.23</v>
      </c>
      <c r="AV68" t="s">
        <v>27</v>
      </c>
    </row>
    <row r="69" spans="1:48">
      <c r="B69" s="80" t="s">
        <v>25</v>
      </c>
      <c r="C69" s="80">
        <f>+C8</f>
        <v>0.7248</v>
      </c>
      <c r="D69" s="30">
        <f>+D8</f>
        <v>0.71799999999999997</v>
      </c>
      <c r="E69" s="58" t="s">
        <v>2236</v>
      </c>
      <c r="F69" s="1797" t="s">
        <v>127</v>
      </c>
      <c r="G69" s="81">
        <v>0.23</v>
      </c>
      <c r="I69" s="183">
        <f>+C69*P69</f>
        <v>26.719027199999999</v>
      </c>
      <c r="J69" s="75">
        <f t="shared" si="44"/>
        <v>25.962880000000002</v>
      </c>
      <c r="K69" s="75">
        <f t="shared" si="49"/>
        <v>0.75614719999999735</v>
      </c>
      <c r="L69" s="67">
        <f t="shared" si="50"/>
        <v>2.9124164961668246E-2</v>
      </c>
      <c r="M69" s="2020"/>
      <c r="N69" s="75"/>
      <c r="O69" s="58" t="s">
        <v>25</v>
      </c>
      <c r="P69" s="144">
        <f t="shared" si="47"/>
        <v>36.863999999999997</v>
      </c>
      <c r="Q69" s="144">
        <f t="shared" si="48"/>
        <v>36.160000000000004</v>
      </c>
      <c r="R69" s="85"/>
      <c r="S69" s="1824">
        <v>6.4</v>
      </c>
      <c r="T69" s="31"/>
      <c r="U69" s="94">
        <v>5.76</v>
      </c>
      <c r="V69" s="162">
        <v>5.65</v>
      </c>
      <c r="W69" s="162"/>
      <c r="X69" s="162">
        <v>0.74</v>
      </c>
      <c r="Y69" s="162">
        <v>0.6</v>
      </c>
      <c r="Z69" s="162">
        <v>0.94</v>
      </c>
      <c r="AA69" s="192">
        <v>1.02</v>
      </c>
      <c r="AB69" s="162">
        <v>1.3</v>
      </c>
      <c r="AC69" s="162">
        <v>1.75</v>
      </c>
      <c r="AD69" s="162">
        <v>1.75</v>
      </c>
      <c r="AE69" s="162">
        <v>2.58</v>
      </c>
      <c r="AF69" s="162">
        <v>2.94</v>
      </c>
      <c r="AG69" s="162">
        <v>2.81</v>
      </c>
      <c r="AH69" s="162">
        <v>4.45</v>
      </c>
      <c r="AI69" s="162">
        <v>6.9</v>
      </c>
      <c r="AJ69" s="162">
        <v>7.5</v>
      </c>
      <c r="AK69" s="162">
        <v>6.99</v>
      </c>
      <c r="AL69" s="162">
        <v>9</v>
      </c>
      <c r="AM69" s="192">
        <v>9</v>
      </c>
      <c r="AN69" s="158"/>
      <c r="AO69" s="158"/>
      <c r="AP69" s="182"/>
      <c r="AR69" s="179"/>
      <c r="AS69" s="105"/>
      <c r="AT69" s="69" t="s">
        <v>2362</v>
      </c>
      <c r="AU69">
        <v>32.619999999999997</v>
      </c>
      <c r="AV69" t="s">
        <v>27</v>
      </c>
    </row>
    <row r="70" spans="1:48">
      <c r="B70" s="90"/>
      <c r="C70" s="90"/>
      <c r="D70" s="20"/>
      <c r="E70" s="19"/>
      <c r="F70" s="23" t="s">
        <v>946</v>
      </c>
      <c r="G70" s="83"/>
      <c r="H70" s="25"/>
      <c r="I70" s="346">
        <v>590</v>
      </c>
      <c r="J70" s="347">
        <v>590</v>
      </c>
      <c r="K70" s="22"/>
      <c r="L70" s="126"/>
      <c r="M70" s="1346">
        <v>870</v>
      </c>
      <c r="N70" s="22"/>
      <c r="O70" s="19"/>
      <c r="P70" s="161"/>
      <c r="Q70" s="161"/>
      <c r="R70" s="21"/>
      <c r="S70" s="92"/>
      <c r="T70" s="1422"/>
      <c r="U70" s="163"/>
      <c r="V70" s="163"/>
      <c r="W70" s="162"/>
      <c r="X70" s="163"/>
      <c r="Y70" s="163"/>
      <c r="Z70" s="163"/>
      <c r="AA70" s="193"/>
      <c r="AB70" s="163"/>
      <c r="AC70" s="163"/>
      <c r="AD70" s="163"/>
      <c r="AE70" s="163"/>
      <c r="AF70" s="163"/>
      <c r="AG70" s="163"/>
      <c r="AH70" s="163"/>
      <c r="AI70" s="163"/>
      <c r="AJ70" s="163"/>
      <c r="AK70" s="163"/>
      <c r="AL70" s="163"/>
      <c r="AM70" s="193"/>
      <c r="AN70" s="111"/>
      <c r="AO70" s="111"/>
      <c r="AP70" s="195"/>
      <c r="AR70" s="140"/>
      <c r="AS70" s="284"/>
      <c r="AT70" s="56" t="s">
        <v>2360</v>
      </c>
    </row>
    <row r="71" spans="1:48" ht="6" customHeight="1"/>
    <row r="72" spans="1:48" s="11" customFormat="1">
      <c r="B72" s="2"/>
      <c r="C72" s="42"/>
      <c r="D72" s="42"/>
      <c r="E72" s="272" t="s">
        <v>108</v>
      </c>
      <c r="F72" s="273"/>
      <c r="G72" s="1218"/>
      <c r="I72" s="274">
        <f>SUM(I57:I70)</f>
        <v>9873.1268156700025</v>
      </c>
      <c r="J72" s="275">
        <f>SUM(J57:J70)</f>
        <v>9046.2379721199995</v>
      </c>
      <c r="K72" s="275">
        <f>+I72-J72</f>
        <v>826.888843550003</v>
      </c>
      <c r="L72" s="276">
        <f>+K72/J72</f>
        <v>9.1406930272940889E-2</v>
      </c>
      <c r="M72" s="277">
        <f>SUM(M57:M70)</f>
        <v>6529.1</v>
      </c>
      <c r="N72" s="12"/>
      <c r="Q72" s="246"/>
      <c r="R72" s="247"/>
      <c r="S72" s="42"/>
      <c r="T72" s="42"/>
      <c r="U72" s="1211">
        <f>+K72/U2</f>
        <v>37.080217199551704</v>
      </c>
      <c r="V72" s="246"/>
      <c r="W72" s="246"/>
      <c r="X72" s="246"/>
      <c r="Y72" s="246"/>
      <c r="Z72" s="246"/>
      <c r="AA72" s="246"/>
      <c r="AB72" s="246"/>
      <c r="AC72" s="1018"/>
      <c r="AD72" s="774" t="s">
        <v>1075</v>
      </c>
      <c r="AE72" s="308">
        <f>+J72-N72</f>
        <v>9046.2379721199995</v>
      </c>
      <c r="AF72" s="308">
        <f>+J72-N72</f>
        <v>9046.2379721199995</v>
      </c>
      <c r="AG72" s="296">
        <f>+J72-N72</f>
        <v>9046.2379721199995</v>
      </c>
      <c r="AH72" s="308">
        <f>+J72-N72</f>
        <v>9046.2379721199995</v>
      </c>
      <c r="AI72" s="308">
        <f>+J72-N72</f>
        <v>9046.2379721199995</v>
      </c>
      <c r="AJ72" s="296">
        <f>+J72-N72</f>
        <v>9046.2379721199995</v>
      </c>
      <c r="AK72" s="308">
        <f>+J72-N72</f>
        <v>9046.2379721199995</v>
      </c>
      <c r="AL72" s="301"/>
      <c r="AM72" s="297" t="s">
        <v>113</v>
      </c>
      <c r="AN72" s="298"/>
      <c r="AO72" s="298"/>
      <c r="AP72" s="299"/>
      <c r="AQ72" s="42"/>
      <c r="AR72" s="106"/>
      <c r="AS72" s="106">
        <f>SUM(AS57:AS70)</f>
        <v>2515.1936239500001</v>
      </c>
    </row>
    <row r="73" spans="1:48" s="11" customFormat="1" ht="17" thickBot="1">
      <c r="B73" s="2"/>
      <c r="C73" s="42"/>
      <c r="D73" s="42"/>
      <c r="E73" s="42"/>
      <c r="G73" s="42"/>
      <c r="I73" s="76"/>
      <c r="J73" s="76"/>
      <c r="K73" s="76"/>
      <c r="L73" s="258"/>
      <c r="N73" s="12"/>
      <c r="O73" s="42"/>
      <c r="P73" s="42"/>
      <c r="Q73" s="42"/>
      <c r="R73" s="8"/>
      <c r="S73" s="1698" t="s">
        <v>1076</v>
      </c>
      <c r="T73" s="42"/>
      <c r="U73" s="1536">
        <f>+I72-M72</f>
        <v>3344.0268156700022</v>
      </c>
      <c r="V73" s="1536">
        <f>+U73/U2</f>
        <v>149.9563594470853</v>
      </c>
      <c r="W73" s="1535"/>
      <c r="X73" s="1474"/>
      <c r="Y73" s="1696" t="s">
        <v>1862</v>
      </c>
      <c r="Z73" s="1474"/>
      <c r="AA73" s="1473">
        <f>+U73/U2</f>
        <v>149.9563594470853</v>
      </c>
      <c r="AB73" s="1351">
        <f>+U73/U2</f>
        <v>149.9563594470853</v>
      </c>
      <c r="AC73" s="1019"/>
      <c r="AD73" s="773" t="s">
        <v>1243</v>
      </c>
      <c r="AE73" s="42"/>
      <c r="AF73" s="42"/>
      <c r="AG73" s="42"/>
      <c r="AH73" s="42"/>
      <c r="AI73" s="42"/>
      <c r="AJ73" s="42"/>
      <c r="AK73" s="42"/>
      <c r="AL73" s="42"/>
      <c r="AM73" s="42"/>
      <c r="AN73" s="42"/>
      <c r="AO73" s="42"/>
      <c r="AP73" s="38"/>
      <c r="AQ73" s="42"/>
      <c r="AR73" s="259"/>
      <c r="AS73" s="106"/>
    </row>
    <row r="74" spans="1:48" ht="17" thickBot="1">
      <c r="B74" s="1045"/>
      <c r="E74" s="286" t="s">
        <v>103</v>
      </c>
      <c r="F74" s="287"/>
      <c r="G74" s="288"/>
      <c r="H74" s="289"/>
      <c r="I74" s="290"/>
      <c r="J74" s="290"/>
      <c r="K74" s="290"/>
      <c r="L74" s="291"/>
      <c r="M74" s="1720" t="s">
        <v>773</v>
      </c>
      <c r="N74" s="3"/>
      <c r="R74" s="6"/>
      <c r="S74" s="33"/>
      <c r="T74" s="33"/>
      <c r="U74" s="5"/>
      <c r="V74" s="5"/>
      <c r="W74" s="93"/>
      <c r="X74" s="5"/>
      <c r="Y74" s="112"/>
      <c r="Z74" s="5"/>
      <c r="AA74" s="5"/>
      <c r="AB74" s="5"/>
      <c r="AC74" s="5"/>
      <c r="AD74" s="112"/>
      <c r="AE74" s="112"/>
      <c r="AF74" s="112"/>
      <c r="AG74" s="5"/>
      <c r="AH74" s="112"/>
      <c r="AI74" s="112"/>
      <c r="AJ74" s="5"/>
      <c r="AK74" s="112"/>
      <c r="AL74" s="112"/>
      <c r="AM74" s="112"/>
      <c r="AN74" s="112"/>
      <c r="AO74" s="112"/>
      <c r="AP74" s="5"/>
      <c r="AR74" s="105"/>
      <c r="AS74" s="105"/>
    </row>
    <row r="75" spans="1:48" ht="6" customHeight="1">
      <c r="G75" s="36"/>
      <c r="I75" s="3"/>
      <c r="J75" s="3"/>
      <c r="K75" s="3"/>
      <c r="L75" s="13"/>
      <c r="M75" s="3"/>
      <c r="N75" s="3"/>
      <c r="R75" s="6"/>
      <c r="U75" s="5"/>
      <c r="V75" s="5"/>
      <c r="W75" s="93"/>
      <c r="X75" s="5"/>
      <c r="Y75" s="112"/>
      <c r="Z75" s="5"/>
      <c r="AA75" s="5"/>
      <c r="AB75" s="5"/>
      <c r="AC75" s="5"/>
      <c r="AD75" s="112"/>
      <c r="AE75" s="112"/>
      <c r="AF75" s="112"/>
      <c r="AG75" s="5"/>
      <c r="AH75" s="112"/>
      <c r="AI75" s="112"/>
      <c r="AJ75" s="5"/>
      <c r="AK75" s="112"/>
      <c r="AL75" s="112"/>
      <c r="AM75" s="112"/>
      <c r="AN75" s="112"/>
      <c r="AO75" s="112"/>
      <c r="AP75" s="5"/>
      <c r="AR75" s="105"/>
      <c r="AS75" s="105"/>
    </row>
    <row r="76" spans="1:48">
      <c r="B76" s="159" t="s">
        <v>20</v>
      </c>
      <c r="C76" s="159">
        <v>1</v>
      </c>
      <c r="D76" s="15">
        <v>1</v>
      </c>
      <c r="E76" s="14" t="s">
        <v>32</v>
      </c>
      <c r="F76" s="18" t="s">
        <v>3</v>
      </c>
      <c r="G76" s="226">
        <v>0.42699999999999999</v>
      </c>
      <c r="H76" s="24"/>
      <c r="I76" s="121">
        <f t="shared" ref="I76:J76" si="52">+C76*P76</f>
        <v>1019.52</v>
      </c>
      <c r="J76" s="16">
        <f t="shared" si="52"/>
        <v>924.48</v>
      </c>
      <c r="K76" s="16">
        <f t="shared" ref="K76" si="53">+I76-J76</f>
        <v>95.039999999999964</v>
      </c>
      <c r="L76" s="1205">
        <f t="shared" ref="L76" si="54">+K76/J76</f>
        <v>0.10280373831775697</v>
      </c>
      <c r="M76" s="1540">
        <f>+S76*12.58</f>
        <v>724.60800000000006</v>
      </c>
      <c r="N76" s="16"/>
      <c r="O76" s="14" t="s">
        <v>20</v>
      </c>
      <c r="P76" s="160">
        <f>+S76*U76</f>
        <v>1019.52</v>
      </c>
      <c r="Q76" s="160">
        <f>+S76*V76</f>
        <v>924.48</v>
      </c>
      <c r="R76" s="17"/>
      <c r="S76" s="91">
        <v>57.6</v>
      </c>
      <c r="T76" s="1423"/>
      <c r="U76" s="97">
        <v>17.7</v>
      </c>
      <c r="V76" s="302">
        <v>16.05</v>
      </c>
      <c r="W76" s="162"/>
      <c r="X76" s="302">
        <v>17</v>
      </c>
      <c r="Y76" s="302">
        <v>15.82</v>
      </c>
      <c r="Z76" s="302">
        <v>15.07</v>
      </c>
      <c r="AA76" s="191">
        <v>14.35</v>
      </c>
      <c r="AB76" s="302">
        <v>15.2</v>
      </c>
      <c r="AC76" s="302">
        <v>13.05</v>
      </c>
      <c r="AD76" s="302">
        <v>14.01</v>
      </c>
      <c r="AE76" s="302">
        <v>12.28</v>
      </c>
      <c r="AF76" s="302">
        <v>9.7100000000000009</v>
      </c>
      <c r="AG76" s="302">
        <v>10.71</v>
      </c>
      <c r="AH76" s="302">
        <v>12.29</v>
      </c>
      <c r="AI76" s="302">
        <v>12.61</v>
      </c>
      <c r="AJ76" s="302">
        <v>13.1</v>
      </c>
      <c r="AK76" s="302">
        <v>13.5</v>
      </c>
      <c r="AL76" s="302">
        <v>12.58</v>
      </c>
      <c r="AM76" s="191">
        <v>9.6</v>
      </c>
      <c r="AN76" s="113">
        <v>6.84</v>
      </c>
      <c r="AO76" s="113">
        <v>8.4</v>
      </c>
      <c r="AP76" s="117">
        <v>6.55</v>
      </c>
      <c r="AR76" s="177">
        <v>12.8</v>
      </c>
      <c r="AS76" s="257">
        <f>+AR76*S76*C76</f>
        <v>737.28000000000009</v>
      </c>
      <c r="AT76" s="116" t="s">
        <v>2360</v>
      </c>
      <c r="AV76">
        <f>+U82*C82</f>
        <v>0.95243849999999997</v>
      </c>
    </row>
    <row r="77" spans="1:48">
      <c r="B77" s="80" t="s">
        <v>25</v>
      </c>
      <c r="C77" s="80">
        <f>+C8</f>
        <v>0.7248</v>
      </c>
      <c r="D77" s="30">
        <f>+D8</f>
        <v>0.71799999999999997</v>
      </c>
      <c r="E77" s="58" t="s">
        <v>1402</v>
      </c>
      <c r="F77" s="60" t="s">
        <v>1</v>
      </c>
      <c r="G77" s="1542">
        <v>1</v>
      </c>
      <c r="I77" s="345">
        <v>690</v>
      </c>
      <c r="J77" s="344">
        <v>690</v>
      </c>
      <c r="K77" s="75"/>
      <c r="L77" s="67"/>
      <c r="M77" s="1343">
        <f>+S77*13.96</f>
        <v>689.62400000000002</v>
      </c>
      <c r="N77" s="75"/>
      <c r="O77" s="58" t="s">
        <v>25</v>
      </c>
      <c r="P77" s="144">
        <f>+S77*U77</f>
        <v>689.62400000000002</v>
      </c>
      <c r="Q77" s="144"/>
      <c r="R77" s="85"/>
      <c r="S77" s="88">
        <f>58.8-9.4</f>
        <v>49.4</v>
      </c>
      <c r="T77" s="31"/>
      <c r="U77" s="1541">
        <v>13.96</v>
      </c>
      <c r="V77" s="1541">
        <v>13.96</v>
      </c>
      <c r="W77" s="162"/>
      <c r="X77" s="1541">
        <v>13.54</v>
      </c>
      <c r="Y77" s="1541">
        <v>13.54</v>
      </c>
      <c r="Z77" s="162"/>
      <c r="AA77" s="192"/>
      <c r="AB77" s="162"/>
      <c r="AC77" s="162">
        <v>20.74</v>
      </c>
      <c r="AD77" s="506">
        <v>20.74</v>
      </c>
      <c r="AE77" s="162">
        <v>20.74</v>
      </c>
      <c r="AF77" s="506">
        <v>20.73</v>
      </c>
      <c r="AG77" s="162">
        <v>12.5</v>
      </c>
      <c r="AH77" s="162">
        <v>14.66</v>
      </c>
      <c r="AI77" s="162">
        <v>17.72</v>
      </c>
      <c r="AJ77" s="162">
        <v>19.48</v>
      </c>
      <c r="AK77" s="162">
        <v>21.25</v>
      </c>
      <c r="AL77" s="162">
        <v>20.329999999999998</v>
      </c>
      <c r="AM77" s="192">
        <v>16.75</v>
      </c>
      <c r="AN77" s="110">
        <v>9.89</v>
      </c>
      <c r="AO77" s="110">
        <v>9.27</v>
      </c>
      <c r="AP77" s="181">
        <v>8.66</v>
      </c>
      <c r="AR77" s="136">
        <v>19.48</v>
      </c>
      <c r="AS77" s="105">
        <f>+AR77*S77*C77</f>
        <v>697.48373760000004</v>
      </c>
      <c r="AT77" s="69" t="s">
        <v>2360</v>
      </c>
      <c r="AV77" t="s">
        <v>827</v>
      </c>
    </row>
    <row r="78" spans="1:48">
      <c r="B78" s="80"/>
      <c r="C78" s="80"/>
      <c r="E78" s="58" t="s">
        <v>1402</v>
      </c>
      <c r="F78" s="60" t="s">
        <v>1624</v>
      </c>
      <c r="G78" s="81">
        <v>1</v>
      </c>
      <c r="I78" s="345">
        <v>600</v>
      </c>
      <c r="J78" s="344">
        <v>600</v>
      </c>
      <c r="K78" s="75"/>
      <c r="L78" s="219"/>
      <c r="M78" s="1345">
        <v>600</v>
      </c>
      <c r="N78" s="75"/>
      <c r="O78" s="58"/>
      <c r="P78" s="144"/>
      <c r="Q78" s="144"/>
      <c r="R78" s="85"/>
      <c r="S78" s="88"/>
      <c r="T78" s="31"/>
      <c r="U78" s="162"/>
      <c r="V78" s="162"/>
      <c r="W78" s="162"/>
      <c r="X78" s="162"/>
      <c r="Y78" s="162"/>
      <c r="Z78" s="162"/>
      <c r="AA78" s="192"/>
      <c r="AB78" s="162"/>
      <c r="AC78" s="162"/>
      <c r="AD78" s="162"/>
      <c r="AE78" s="162"/>
      <c r="AF78" s="162"/>
      <c r="AG78" s="162"/>
      <c r="AH78" s="162"/>
      <c r="AI78" s="162"/>
      <c r="AJ78" s="162"/>
      <c r="AK78" s="162"/>
      <c r="AL78" s="162"/>
      <c r="AM78" s="192"/>
      <c r="AN78" s="158"/>
      <c r="AO78" s="158"/>
      <c r="AP78" s="182"/>
      <c r="AR78" s="179"/>
      <c r="AS78" s="105"/>
      <c r="AT78" s="69" t="s">
        <v>2360</v>
      </c>
    </row>
    <row r="79" spans="1:48">
      <c r="B79" s="80" t="s">
        <v>25</v>
      </c>
      <c r="C79" s="80">
        <f>+C8</f>
        <v>0.7248</v>
      </c>
      <c r="D79" s="30">
        <f>+D8</f>
        <v>0.71799999999999997</v>
      </c>
      <c r="E79" s="58" t="s">
        <v>2357</v>
      </c>
      <c r="F79" s="60" t="s">
        <v>2358</v>
      </c>
      <c r="G79" s="82">
        <v>0.56999999999999995</v>
      </c>
      <c r="I79" s="74">
        <f>+C79*P79</f>
        <v>456.61004035200006</v>
      </c>
      <c r="J79" s="75">
        <f>+D79*Q79</f>
        <v>518.72515992000001</v>
      </c>
      <c r="K79" s="75">
        <f>+I79-J79</f>
        <v>-62.115119567999955</v>
      </c>
      <c r="L79" s="67">
        <f>+K79/J79</f>
        <v>-0.11974572349176124</v>
      </c>
      <c r="M79" s="2026">
        <v>632</v>
      </c>
      <c r="O79" s="58" t="s">
        <v>25</v>
      </c>
      <c r="P79" s="144">
        <f>+S79*U79</f>
        <v>629.98074000000008</v>
      </c>
      <c r="Q79" s="144">
        <f>+S79*V79</f>
        <v>722.45844000000011</v>
      </c>
      <c r="S79" s="88">
        <v>37.746000000000002</v>
      </c>
      <c r="U79" s="127">
        <v>16.690000000000001</v>
      </c>
      <c r="V79" s="303">
        <v>19.14</v>
      </c>
      <c r="W79" s="303"/>
      <c r="X79" s="303">
        <v>7.99</v>
      </c>
      <c r="Y79" s="303">
        <v>7.8</v>
      </c>
      <c r="Z79" s="303">
        <v>6.86</v>
      </c>
      <c r="AA79" s="205">
        <v>5.35</v>
      </c>
      <c r="AB79" s="303">
        <v>5.76</v>
      </c>
      <c r="AC79" s="303">
        <v>5.72</v>
      </c>
      <c r="AD79" s="303">
        <v>5.74</v>
      </c>
      <c r="AE79" s="303">
        <v>5.53</v>
      </c>
      <c r="AF79" s="303">
        <v>5.7</v>
      </c>
      <c r="AG79" s="303">
        <v>5.53</v>
      </c>
      <c r="AH79" s="303">
        <v>7.86</v>
      </c>
      <c r="AI79" s="303">
        <v>8.59</v>
      </c>
      <c r="AJ79" s="303">
        <v>8.18</v>
      </c>
      <c r="AK79" s="303">
        <v>6.85</v>
      </c>
      <c r="AL79" s="303">
        <v>5.85</v>
      </c>
      <c r="AM79" s="205">
        <v>6.49</v>
      </c>
      <c r="AN79" s="124">
        <v>5.0999999999999996</v>
      </c>
      <c r="AP79" s="84"/>
      <c r="AR79" s="142">
        <v>6.15</v>
      </c>
      <c r="AS79" s="105">
        <f>+AR79*S79*C79</f>
        <v>168.25354992000001</v>
      </c>
      <c r="AT79" s="69" t="s">
        <v>2359</v>
      </c>
      <c r="AU79">
        <v>64.869</v>
      </c>
    </row>
    <row r="80" spans="1:48">
      <c r="B80" s="80"/>
      <c r="C80" s="80"/>
      <c r="E80" s="58" t="s">
        <v>1402</v>
      </c>
      <c r="F80" s="60" t="s">
        <v>172</v>
      </c>
      <c r="G80" s="82">
        <v>0.84</v>
      </c>
      <c r="I80" s="345">
        <v>529</v>
      </c>
      <c r="J80" s="344">
        <v>529</v>
      </c>
      <c r="K80" s="75"/>
      <c r="L80" s="67"/>
      <c r="M80" s="1345">
        <f>+S80*1.56</f>
        <v>529.46399999999994</v>
      </c>
      <c r="N80" s="75"/>
      <c r="O80" s="58"/>
      <c r="P80" s="144"/>
      <c r="Q80" s="144"/>
      <c r="R80" s="85"/>
      <c r="S80" s="89">
        <v>339.4</v>
      </c>
      <c r="T80" s="31"/>
      <c r="U80" s="1541">
        <v>1.56</v>
      </c>
      <c r="V80" s="1541">
        <v>1.56</v>
      </c>
      <c r="W80" s="162"/>
      <c r="X80" s="1541">
        <v>1.38</v>
      </c>
      <c r="Y80" s="1541">
        <v>1.38</v>
      </c>
      <c r="Z80" s="162"/>
      <c r="AA80" s="192"/>
      <c r="AB80" s="162"/>
      <c r="AC80" s="162"/>
      <c r="AD80" s="162"/>
      <c r="AE80" s="162"/>
      <c r="AF80" s="162"/>
      <c r="AG80" s="162"/>
      <c r="AH80" s="162"/>
      <c r="AI80" s="162"/>
      <c r="AJ80" s="162"/>
      <c r="AK80" s="162"/>
      <c r="AL80" s="162"/>
      <c r="AM80" s="192"/>
      <c r="AN80" s="158"/>
      <c r="AO80" s="158"/>
      <c r="AP80" s="182"/>
      <c r="AR80" s="179"/>
      <c r="AS80" s="105"/>
      <c r="AT80" s="69" t="s">
        <v>2360</v>
      </c>
    </row>
    <row r="81" spans="1:49">
      <c r="A81" s="154"/>
      <c r="B81" s="155" t="s">
        <v>20</v>
      </c>
      <c r="C81" s="155"/>
      <c r="D81" s="104"/>
      <c r="E81" s="168" t="s">
        <v>1402</v>
      </c>
      <c r="F81" s="260" t="s">
        <v>1457</v>
      </c>
      <c r="G81" s="1201">
        <v>1</v>
      </c>
      <c r="H81" s="154"/>
      <c r="I81" s="345">
        <v>500</v>
      </c>
      <c r="J81" s="344">
        <v>500</v>
      </c>
      <c r="K81" s="184"/>
      <c r="L81" s="219"/>
      <c r="M81" s="1344">
        <v>500</v>
      </c>
      <c r="N81" s="262"/>
      <c r="O81" s="168"/>
      <c r="P81" s="144"/>
      <c r="Q81" s="144"/>
      <c r="R81" s="104"/>
      <c r="S81" s="210"/>
      <c r="T81" s="105"/>
      <c r="U81" s="188"/>
      <c r="V81" s="188"/>
      <c r="W81" s="188"/>
      <c r="X81" s="188"/>
      <c r="Y81" s="188"/>
      <c r="Z81" s="188"/>
      <c r="AA81" s="189"/>
      <c r="AB81" s="188"/>
      <c r="AC81" s="188"/>
      <c r="AD81" s="188"/>
      <c r="AE81" s="188"/>
      <c r="AF81" s="188"/>
      <c r="AG81" s="188"/>
      <c r="AH81" s="188"/>
      <c r="AI81" s="188"/>
      <c r="AJ81" s="188"/>
      <c r="AK81" s="188"/>
      <c r="AL81" s="188"/>
      <c r="AM81" s="189"/>
      <c r="AN81" s="104"/>
      <c r="AO81" s="105"/>
      <c r="AP81" s="180"/>
      <c r="AQ81" s="263"/>
      <c r="AR81" s="156"/>
      <c r="AS81" s="262"/>
      <c r="AT81" s="356" t="s">
        <v>2360</v>
      </c>
    </row>
    <row r="82" spans="1:49">
      <c r="B82" s="80" t="s">
        <v>24</v>
      </c>
      <c r="C82" s="80">
        <f>+C63</f>
        <v>1.0529999999999999E-2</v>
      </c>
      <c r="D82" s="30">
        <f>+D63</f>
        <v>1.0699999999999999E-2</v>
      </c>
      <c r="E82" s="66" t="s">
        <v>33</v>
      </c>
      <c r="F82" s="60" t="s">
        <v>5</v>
      </c>
      <c r="G82" s="82">
        <v>0.64</v>
      </c>
      <c r="I82" s="74">
        <f>+C82*P82</f>
        <v>286.01728155000001</v>
      </c>
      <c r="J82" s="75">
        <f>+D82*Q82</f>
        <v>287.74295549999999</v>
      </c>
      <c r="K82" s="75">
        <f>+I82-J82</f>
        <v>-1.7256739499999867</v>
      </c>
      <c r="L82" s="67">
        <f>+K82/J82</f>
        <v>-5.997276100126756E-3</v>
      </c>
      <c r="M82" s="1343">
        <f>+S82*0.74</f>
        <v>222.22200000000001</v>
      </c>
      <c r="N82" s="75"/>
      <c r="O82" s="58" t="s">
        <v>24</v>
      </c>
      <c r="P82" s="144">
        <f>+S82*U82</f>
        <v>27162.135000000002</v>
      </c>
      <c r="Q82" s="144">
        <f>+S82*V82</f>
        <v>26891.865000000002</v>
      </c>
      <c r="R82" s="86"/>
      <c r="S82" s="89">
        <v>300.3</v>
      </c>
      <c r="T82" s="31"/>
      <c r="U82" s="94">
        <v>90.45</v>
      </c>
      <c r="V82" s="162">
        <v>89.55</v>
      </c>
      <c r="W82" s="162"/>
      <c r="X82" s="162">
        <v>134.6</v>
      </c>
      <c r="Y82" s="162">
        <v>196.25</v>
      </c>
      <c r="Z82" s="162">
        <v>202.65</v>
      </c>
      <c r="AA82" s="192">
        <v>241.65</v>
      </c>
      <c r="AB82" s="162">
        <v>136.15</v>
      </c>
      <c r="AC82" s="162">
        <v>120</v>
      </c>
      <c r="AD82" s="162">
        <v>76.22</v>
      </c>
      <c r="AE82" s="162">
        <v>71.150000000000006</v>
      </c>
      <c r="AF82" s="162">
        <v>73.95</v>
      </c>
      <c r="AG82" s="162">
        <v>58.8</v>
      </c>
      <c r="AH82" s="162">
        <v>68.400000000000006</v>
      </c>
      <c r="AI82" s="162">
        <v>59.45</v>
      </c>
      <c r="AJ82" s="162">
        <v>65.25</v>
      </c>
      <c r="AK82" s="162">
        <v>63.55</v>
      </c>
      <c r="AL82" s="162">
        <v>49.85</v>
      </c>
      <c r="AM82" s="192">
        <v>47.1</v>
      </c>
      <c r="AN82" s="110">
        <v>27.9</v>
      </c>
      <c r="AO82" s="110">
        <v>26.7</v>
      </c>
      <c r="AP82" s="181">
        <v>24.15</v>
      </c>
      <c r="AR82" s="136">
        <v>63.75</v>
      </c>
      <c r="AS82" s="105">
        <f>+AR82*S82*C82</f>
        <v>201.58763625</v>
      </c>
      <c r="AT82" s="507" t="s">
        <v>2360</v>
      </c>
      <c r="AV82" t="s">
        <v>1290</v>
      </c>
    </row>
    <row r="83" spans="1:49">
      <c r="A83" s="154"/>
      <c r="B83" s="155" t="s">
        <v>20</v>
      </c>
      <c r="C83" s="155"/>
      <c r="D83" s="104"/>
      <c r="E83" s="168" t="s">
        <v>1402</v>
      </c>
      <c r="F83" s="260" t="s">
        <v>1135</v>
      </c>
      <c r="G83" s="1201">
        <v>0.95</v>
      </c>
      <c r="H83" s="154"/>
      <c r="I83" s="345">
        <v>300</v>
      </c>
      <c r="J83" s="344">
        <v>300</v>
      </c>
      <c r="K83" s="184"/>
      <c r="L83" s="219"/>
      <c r="M83" s="1344">
        <v>300</v>
      </c>
      <c r="N83" s="262"/>
      <c r="O83" s="168"/>
      <c r="P83" s="144"/>
      <c r="Q83" s="144"/>
      <c r="R83" s="104"/>
      <c r="S83" s="210"/>
      <c r="T83" s="105"/>
      <c r="U83" s="188"/>
      <c r="V83" s="188"/>
      <c r="W83" s="188"/>
      <c r="X83" s="188"/>
      <c r="Y83" s="188"/>
      <c r="Z83" s="188"/>
      <c r="AA83" s="189"/>
      <c r="AB83" s="188"/>
      <c r="AC83" s="188"/>
      <c r="AD83" s="188"/>
      <c r="AE83" s="188"/>
      <c r="AF83" s="188"/>
      <c r="AG83" s="188"/>
      <c r="AH83" s="188"/>
      <c r="AI83" s="188"/>
      <c r="AJ83" s="188"/>
      <c r="AK83" s="188"/>
      <c r="AL83" s="188"/>
      <c r="AM83" s="189"/>
      <c r="AN83" s="104"/>
      <c r="AO83" s="105"/>
      <c r="AP83" s="180"/>
      <c r="AQ83" s="263"/>
      <c r="AR83" s="156"/>
      <c r="AS83" s="262"/>
      <c r="AT83" s="356" t="s">
        <v>2360</v>
      </c>
    </row>
    <row r="84" spans="1:49">
      <c r="B84" s="80" t="s">
        <v>25</v>
      </c>
      <c r="C84" s="80">
        <f>+C8</f>
        <v>0.7248</v>
      </c>
      <c r="D84" s="30">
        <f>+D8</f>
        <v>0.71799999999999997</v>
      </c>
      <c r="E84" s="58" t="s">
        <v>60</v>
      </c>
      <c r="F84" s="60" t="s">
        <v>1401</v>
      </c>
      <c r="G84" s="2027">
        <v>0.5</v>
      </c>
      <c r="I84" s="2028">
        <f t="shared" ref="I84:J84" si="55">+C84*P84</f>
        <v>299.27716799999996</v>
      </c>
      <c r="J84" s="2029">
        <f t="shared" si="55"/>
        <v>273.69872800000002</v>
      </c>
      <c r="K84" s="2029">
        <f>+I84-J84</f>
        <v>25.578439999999944</v>
      </c>
      <c r="L84" s="2030">
        <f>+K84/J84</f>
        <v>9.3454727345316499E-2</v>
      </c>
      <c r="M84" s="2031">
        <f>3.34*31.4</f>
        <v>104.87599999999999</v>
      </c>
      <c r="O84" s="58" t="s">
        <v>25</v>
      </c>
      <c r="P84" s="144">
        <f>+S84*U84</f>
        <v>412.90999999999997</v>
      </c>
      <c r="Q84" s="144">
        <f>+S84*V84</f>
        <v>381.19600000000003</v>
      </c>
      <c r="S84" s="88">
        <v>31.4</v>
      </c>
      <c r="U84" s="2032">
        <v>13.15</v>
      </c>
      <c r="V84" s="2033">
        <v>12.14</v>
      </c>
      <c r="W84" s="2033"/>
      <c r="X84" s="2033">
        <v>7.99</v>
      </c>
      <c r="Y84" s="2033">
        <v>7.8</v>
      </c>
      <c r="Z84" s="2033">
        <v>6.86</v>
      </c>
      <c r="AA84" s="2034">
        <v>5.35</v>
      </c>
      <c r="AB84" s="2033">
        <v>5.76</v>
      </c>
      <c r="AC84" s="2033">
        <v>5.72</v>
      </c>
      <c r="AD84" s="2033">
        <v>5.74</v>
      </c>
      <c r="AE84" s="2033">
        <v>5.53</v>
      </c>
      <c r="AF84" s="2033">
        <v>5.7</v>
      </c>
      <c r="AG84" s="2033">
        <v>5.53</v>
      </c>
      <c r="AH84" s="2033">
        <v>7.86</v>
      </c>
      <c r="AI84" s="2033">
        <v>8.59</v>
      </c>
      <c r="AJ84" s="2033">
        <v>8.18</v>
      </c>
      <c r="AK84" s="2033">
        <v>6.85</v>
      </c>
      <c r="AL84" s="2033">
        <v>5.85</v>
      </c>
      <c r="AM84" s="2034">
        <v>6.49</v>
      </c>
      <c r="AN84" s="2035">
        <v>5.0999999999999996</v>
      </c>
      <c r="AP84" s="84"/>
      <c r="AR84" s="2036">
        <v>6.15</v>
      </c>
      <c r="AS84" s="105">
        <f>+AR84*S84*C84</f>
        <v>139.966128</v>
      </c>
      <c r="AT84" s="69" t="s">
        <v>2360</v>
      </c>
      <c r="AU84">
        <v>64.869</v>
      </c>
    </row>
    <row r="85" spans="1:49">
      <c r="B85" s="90" t="s">
        <v>20</v>
      </c>
      <c r="C85" s="90"/>
      <c r="D85" s="20"/>
      <c r="E85" s="19"/>
      <c r="F85" s="23" t="s">
        <v>945</v>
      </c>
      <c r="G85" s="264"/>
      <c r="H85" s="25"/>
      <c r="I85" s="346">
        <v>40</v>
      </c>
      <c r="J85" s="347">
        <v>40</v>
      </c>
      <c r="K85" s="22"/>
      <c r="L85" s="509"/>
      <c r="M85" s="1543">
        <v>40</v>
      </c>
      <c r="N85" s="25"/>
      <c r="O85" s="19"/>
      <c r="P85" s="161"/>
      <c r="Q85" s="161"/>
      <c r="R85" s="20"/>
      <c r="S85" s="250"/>
      <c r="T85" s="20"/>
      <c r="U85" s="304"/>
      <c r="V85" s="304"/>
      <c r="W85" s="303"/>
      <c r="X85" s="304"/>
      <c r="Y85" s="304"/>
      <c r="Z85" s="304"/>
      <c r="AA85" s="265"/>
      <c r="AB85" s="304"/>
      <c r="AC85" s="304"/>
      <c r="AD85" s="304"/>
      <c r="AE85" s="304"/>
      <c r="AF85" s="304"/>
      <c r="AG85" s="304"/>
      <c r="AH85" s="304"/>
      <c r="AI85" s="304"/>
      <c r="AJ85" s="304"/>
      <c r="AK85" s="304"/>
      <c r="AL85" s="304"/>
      <c r="AM85" s="265"/>
      <c r="AN85" s="266"/>
      <c r="AO85" s="20"/>
      <c r="AP85" s="150"/>
      <c r="AR85" s="267"/>
      <c r="AS85" s="284"/>
      <c r="AT85" s="56" t="s">
        <v>2360</v>
      </c>
    </row>
    <row r="86" spans="1:49" ht="6" customHeight="1"/>
    <row r="87" spans="1:49" s="11" customFormat="1">
      <c r="B87" s="2"/>
      <c r="C87" s="42"/>
      <c r="D87" s="42"/>
      <c r="E87" s="272" t="s">
        <v>109</v>
      </c>
      <c r="F87" s="273"/>
      <c r="G87" s="42"/>
      <c r="I87" s="274">
        <f>SUM(I76:I85)</f>
        <v>4720.4244899019996</v>
      </c>
      <c r="J87" s="275">
        <f>SUM(J76:J85)</f>
        <v>4663.6468434200006</v>
      </c>
      <c r="K87" s="275">
        <f>+I87-J87</f>
        <v>56.777646481999</v>
      </c>
      <c r="L87" s="276">
        <f>+K87/J87</f>
        <v>1.2174516722274396E-2</v>
      </c>
      <c r="M87" s="277">
        <f>SUM(M76:M85)</f>
        <v>4342.7939999999999</v>
      </c>
      <c r="N87" s="12"/>
      <c r="Q87" s="246"/>
      <c r="R87" s="247"/>
      <c r="S87" s="42"/>
      <c r="T87" s="42"/>
      <c r="U87" s="1211">
        <f>+K87/U2</f>
        <v>2.546082801883363</v>
      </c>
      <c r="V87" s="246"/>
      <c r="W87" s="246"/>
      <c r="X87" s="246"/>
      <c r="Y87" s="246"/>
      <c r="Z87" s="246"/>
      <c r="AA87" s="246"/>
      <c r="AB87" s="246"/>
      <c r="AC87" s="1018"/>
      <c r="AD87" s="774" t="s">
        <v>1075</v>
      </c>
      <c r="AE87" s="308">
        <f>+J87-N87</f>
        <v>4663.6468434200006</v>
      </c>
      <c r="AF87" s="308">
        <f>+J87-N87</f>
        <v>4663.6468434200006</v>
      </c>
      <c r="AG87" s="308">
        <f>+J87-N87</f>
        <v>4663.6468434200006</v>
      </c>
      <c r="AH87" s="308">
        <f>+J87-N87</f>
        <v>4663.6468434200006</v>
      </c>
      <c r="AI87" s="308">
        <f>+J87-N87</f>
        <v>4663.6468434200006</v>
      </c>
      <c r="AJ87" s="296">
        <f>+J87-N87</f>
        <v>4663.6468434200006</v>
      </c>
      <c r="AK87" s="308">
        <f>+J87-N87</f>
        <v>4663.6468434200006</v>
      </c>
      <c r="AL87" s="301"/>
      <c r="AM87" s="297" t="s">
        <v>113</v>
      </c>
      <c r="AN87" s="298"/>
      <c r="AO87" s="298"/>
      <c r="AP87" s="299"/>
      <c r="AQ87" s="42"/>
      <c r="AR87" s="106"/>
      <c r="AS87" s="106"/>
    </row>
    <row r="88" spans="1:49" s="11" customFormat="1" ht="15" customHeight="1">
      <c r="B88" s="2"/>
      <c r="C88" s="42"/>
      <c r="D88" s="42"/>
      <c r="E88" s="42"/>
      <c r="G88" s="42"/>
      <c r="I88" s="12"/>
      <c r="J88" s="12"/>
      <c r="K88" s="29"/>
      <c r="L88" s="12"/>
      <c r="M88" s="12"/>
      <c r="N88" s="12"/>
      <c r="O88" s="42"/>
      <c r="P88" s="42"/>
      <c r="Q88" s="42"/>
      <c r="R88" s="8"/>
      <c r="S88" s="1698" t="s">
        <v>1076</v>
      </c>
      <c r="T88" s="42"/>
      <c r="U88" s="1536">
        <f>+I87-M87</f>
        <v>377.63048990199968</v>
      </c>
      <c r="V88" s="1536">
        <f>+U88/U2</f>
        <v>16.934102686188325</v>
      </c>
      <c r="W88" s="1535"/>
      <c r="X88" s="1474"/>
      <c r="Y88" s="1696" t="s">
        <v>1862</v>
      </c>
      <c r="Z88" s="1535"/>
      <c r="AA88" s="1473">
        <f>+U88/U2</f>
        <v>16.934102686188325</v>
      </c>
      <c r="AB88" s="1351">
        <f>+U88/U2</f>
        <v>16.934102686188325</v>
      </c>
      <c r="AC88" s="1019"/>
      <c r="AD88" s="773" t="s">
        <v>1243</v>
      </c>
      <c r="AE88" s="42"/>
      <c r="AF88" s="42"/>
      <c r="AG88" s="42"/>
      <c r="AH88" s="42"/>
      <c r="AI88" s="42"/>
      <c r="AJ88" s="42"/>
      <c r="AK88" s="42"/>
      <c r="AL88" s="42"/>
      <c r="AM88" s="42"/>
      <c r="AN88" s="42"/>
      <c r="AO88" s="42"/>
      <c r="AP88" s="38"/>
      <c r="AQ88" s="42"/>
      <c r="AR88" s="106"/>
      <c r="AS88" s="106"/>
      <c r="AU88" s="1167" t="s">
        <v>1563</v>
      </c>
      <c r="AV88" s="1360">
        <f>+U73+U88</f>
        <v>3721.6573055720019</v>
      </c>
      <c r="AW88" s="1359">
        <f>+AV88/U2</f>
        <v>166.89046213327362</v>
      </c>
    </row>
    <row r="89" spans="1:49" s="11" customFormat="1" ht="15" customHeight="1">
      <c r="B89" s="2"/>
      <c r="C89" s="42"/>
      <c r="D89" s="42"/>
      <c r="E89" s="1192" t="s">
        <v>112</v>
      </c>
      <c r="F89" s="1214"/>
      <c r="G89" s="42"/>
      <c r="I89" s="1215">
        <f>+I46+I72+I87</f>
        <v>24372.959754812</v>
      </c>
      <c r="J89" s="1216">
        <f>+J46+J72+J87</f>
        <v>22989.27984263</v>
      </c>
      <c r="K89" s="1216">
        <f>+I89-J89</f>
        <v>1383.6799121820004</v>
      </c>
      <c r="L89" s="1217">
        <f>+K89/J89</f>
        <v>6.018804945843427E-2</v>
      </c>
      <c r="M89" s="12"/>
      <c r="N89" s="12"/>
      <c r="O89" s="42"/>
      <c r="P89" s="42"/>
      <c r="Q89" s="42"/>
      <c r="R89" s="8"/>
      <c r="S89" s="42"/>
      <c r="T89" s="42"/>
      <c r="U89" s="42"/>
      <c r="V89" s="42"/>
      <c r="W89" s="42"/>
      <c r="X89" s="42"/>
      <c r="Y89" s="42"/>
      <c r="Z89" s="42"/>
      <c r="AA89" s="42"/>
      <c r="AB89" s="42"/>
      <c r="AC89" s="42"/>
      <c r="AD89" s="42"/>
      <c r="AE89" s="42"/>
      <c r="AF89" s="42"/>
      <c r="AG89" s="42"/>
      <c r="AH89" s="42"/>
      <c r="AI89" s="42"/>
      <c r="AJ89" s="42"/>
      <c r="AK89" s="42"/>
      <c r="AL89" s="42"/>
      <c r="AM89" s="42"/>
      <c r="AN89" s="42"/>
      <c r="AO89" s="42"/>
      <c r="AP89" s="38"/>
      <c r="AQ89" s="42"/>
      <c r="AR89" s="106"/>
      <c r="AS89" s="106"/>
    </row>
    <row r="90" spans="1:49" s="11" customFormat="1" ht="15" customHeight="1">
      <c r="B90" s="2"/>
      <c r="C90" s="42"/>
      <c r="D90" s="42"/>
      <c r="E90" s="42"/>
      <c r="G90" s="42"/>
      <c r="I90" s="12"/>
      <c r="J90" s="12"/>
      <c r="K90" s="29"/>
      <c r="L90" s="12"/>
      <c r="M90" s="12"/>
      <c r="N90" s="12"/>
      <c r="O90" s="42"/>
      <c r="P90" s="42"/>
      <c r="Q90" s="42"/>
      <c r="R90" s="8"/>
      <c r="S90" s="42"/>
      <c r="T90" s="42"/>
      <c r="U90" s="42"/>
      <c r="V90" s="42"/>
      <c r="W90" s="42"/>
      <c r="X90" s="42"/>
      <c r="Y90" s="42"/>
      <c r="Z90" s="42"/>
      <c r="AA90" s="42"/>
      <c r="AB90" s="42"/>
      <c r="AC90" s="42"/>
      <c r="AD90" s="42"/>
      <c r="AE90" s="42"/>
      <c r="AF90" s="42"/>
      <c r="AG90" s="42"/>
      <c r="AH90" s="42"/>
      <c r="AI90" s="42"/>
      <c r="AJ90" s="42"/>
      <c r="AK90" s="42"/>
      <c r="AL90" s="42"/>
      <c r="AM90" s="42"/>
      <c r="AN90" s="42"/>
      <c r="AO90" s="42"/>
      <c r="AP90" s="38"/>
      <c r="AQ90" s="42"/>
      <c r="AR90" s="106"/>
      <c r="AS90" s="106"/>
    </row>
    <row r="91" spans="1:49" ht="7" customHeight="1" thickBot="1">
      <c r="K91" s="29"/>
      <c r="R91" s="6"/>
      <c r="AP91" s="5"/>
      <c r="AR91" s="105"/>
      <c r="AS91" s="105"/>
    </row>
    <row r="92" spans="1:49" ht="15" customHeight="1" thickBot="1">
      <c r="E92" s="270" t="s">
        <v>1394</v>
      </c>
      <c r="F92" s="279"/>
      <c r="G92" s="271"/>
      <c r="K92" s="29"/>
      <c r="R92" s="6"/>
      <c r="AP92" s="5"/>
      <c r="AR92" s="105"/>
      <c r="AS92" s="105"/>
    </row>
    <row r="93" spans="1:49" ht="6" customHeight="1">
      <c r="K93" s="29"/>
      <c r="R93" s="6"/>
      <c r="AP93" s="5"/>
      <c r="AR93" s="105"/>
      <c r="AS93" s="105"/>
    </row>
    <row r="94" spans="1:49" ht="15" customHeight="1">
      <c r="B94" s="45" t="s">
        <v>20</v>
      </c>
      <c r="C94" s="26">
        <v>1</v>
      </c>
      <c r="D94" s="45">
        <v>1</v>
      </c>
      <c r="E94" s="1207" t="s">
        <v>81</v>
      </c>
      <c r="F94" s="1660" t="s">
        <v>80</v>
      </c>
      <c r="G94" s="49"/>
      <c r="H94" s="63"/>
      <c r="I94" s="1208">
        <f t="shared" ref="I94" si="56">+C94*P94</f>
        <v>2740.6614924</v>
      </c>
      <c r="J94" s="252">
        <f>+D94*Q94</f>
        <v>2996.1242099999999</v>
      </c>
      <c r="K94" s="252">
        <f t="shared" ref="K94:K105" si="57">+I94-J94</f>
        <v>-255.46271759999991</v>
      </c>
      <c r="L94" s="28"/>
      <c r="M94" s="46"/>
      <c r="N94" s="63"/>
      <c r="O94" s="26" t="s">
        <v>20</v>
      </c>
      <c r="P94" s="326">
        <f>+S94*U94</f>
        <v>2740.6614924</v>
      </c>
      <c r="Q94" s="326">
        <f>+S94*V94</f>
        <v>2996.1242099999999</v>
      </c>
      <c r="R94" s="1209"/>
      <c r="S94" s="804">
        <v>1.7603549999999999</v>
      </c>
      <c r="T94" s="20"/>
      <c r="U94" s="1947">
        <v>1556.88</v>
      </c>
      <c r="V94" s="1342">
        <v>1702</v>
      </c>
      <c r="W94" s="204"/>
      <c r="X94" s="1342">
        <v>1448.82</v>
      </c>
      <c r="Y94" s="1342">
        <v>1391</v>
      </c>
      <c r="Z94" s="1342">
        <v>1258.3900000000001</v>
      </c>
      <c r="AA94" s="1342">
        <v>1135.67</v>
      </c>
      <c r="AB94" s="43">
        <v>920.76</v>
      </c>
      <c r="AC94" s="43">
        <v>818.95</v>
      </c>
      <c r="AD94" s="43">
        <v>748.9</v>
      </c>
      <c r="AE94" s="43">
        <v>594.12</v>
      </c>
      <c r="AF94" s="43">
        <v>464.8</v>
      </c>
      <c r="AG94" s="43">
        <v>529.1</v>
      </c>
      <c r="AH94" s="43">
        <v>544.73</v>
      </c>
      <c r="AI94" s="43">
        <v>492.13</v>
      </c>
      <c r="AJ94" s="43">
        <v>403.61</v>
      </c>
      <c r="AK94" s="43">
        <v>437.91</v>
      </c>
      <c r="AL94" s="43">
        <v>435.34</v>
      </c>
      <c r="AM94" s="43">
        <v>341</v>
      </c>
      <c r="AN94" s="26"/>
      <c r="AO94" s="206" t="s">
        <v>82</v>
      </c>
      <c r="AP94" s="1210"/>
      <c r="AR94" s="329"/>
      <c r="AS94" s="329"/>
      <c r="AT94" s="28" t="s">
        <v>1871</v>
      </c>
      <c r="AV94" s="13">
        <f>(+V94-U94)/V94</f>
        <v>8.526439482961215E-2</v>
      </c>
    </row>
    <row r="95" spans="1:49" ht="6" customHeight="1">
      <c r="I95" s="184"/>
      <c r="J95" s="184"/>
      <c r="K95" s="184"/>
      <c r="P95" s="118"/>
      <c r="Q95" s="118"/>
      <c r="R95" s="213"/>
      <c r="S95" s="1203"/>
      <c r="U95" s="158"/>
      <c r="V95" s="158"/>
      <c r="W95" s="158"/>
      <c r="X95" s="158"/>
      <c r="Y95" s="158"/>
      <c r="Z95" s="158"/>
      <c r="AA95" s="158"/>
      <c r="AB95" s="110"/>
      <c r="AC95" s="110"/>
      <c r="AD95" s="110"/>
      <c r="AE95" s="110"/>
      <c r="AF95" s="110"/>
      <c r="AG95" s="110"/>
      <c r="AH95" s="110"/>
      <c r="AI95" s="110"/>
      <c r="AJ95" s="110"/>
      <c r="AK95" s="110"/>
      <c r="AL95" s="110"/>
      <c r="AM95" s="110"/>
      <c r="AO95" s="7"/>
      <c r="AP95" s="110"/>
      <c r="AR95" s="105"/>
      <c r="AS95" s="105"/>
    </row>
    <row r="96" spans="1:49" ht="15" customHeight="1">
      <c r="E96" s="272" t="s">
        <v>110</v>
      </c>
      <c r="F96" s="273"/>
      <c r="G96" s="58"/>
      <c r="I96" s="358">
        <f>+I94</f>
        <v>2740.6614924</v>
      </c>
      <c r="J96" s="357">
        <f>+J94</f>
        <v>2996.1242099999999</v>
      </c>
      <c r="K96" s="275">
        <f>+I96-J96</f>
        <v>-255.46271759999991</v>
      </c>
      <c r="L96" s="293"/>
      <c r="Q96" s="248"/>
      <c r="R96" s="247"/>
      <c r="S96" s="42"/>
      <c r="U96" s="1213">
        <f>+K96/U2</f>
        <v>-11.455727246636767</v>
      </c>
      <c r="V96" s="248"/>
      <c r="W96" s="248"/>
      <c r="X96" s="248"/>
      <c r="Y96" s="248"/>
      <c r="Z96" s="248"/>
      <c r="AA96" s="248"/>
      <c r="AB96" s="248"/>
      <c r="AC96" s="110"/>
      <c r="AD96" s="110"/>
      <c r="AE96" s="110"/>
      <c r="AF96" s="110"/>
      <c r="AG96" s="110"/>
      <c r="AH96" s="110"/>
      <c r="AI96" s="110"/>
      <c r="AJ96" s="110"/>
      <c r="AK96" s="110"/>
      <c r="AL96" s="110"/>
      <c r="AM96" s="110"/>
      <c r="AO96" s="7"/>
      <c r="AP96" s="110"/>
      <c r="AR96" s="105"/>
      <c r="AS96" s="105"/>
    </row>
    <row r="97" spans="2:47" ht="15" customHeight="1">
      <c r="I97" s="184"/>
      <c r="J97" s="184"/>
      <c r="K97" s="184"/>
      <c r="P97" s="118"/>
      <c r="Q97" s="118"/>
      <c r="R97" s="213"/>
      <c r="S97" s="1203"/>
      <c r="U97" s="158"/>
      <c r="V97" s="158"/>
      <c r="W97" s="158"/>
      <c r="X97" s="158"/>
      <c r="Y97" s="158"/>
      <c r="Z97" s="158"/>
      <c r="AA97" s="158"/>
      <c r="AB97" s="110"/>
      <c r="AC97" s="110"/>
      <c r="AD97" s="110"/>
      <c r="AE97" s="110"/>
      <c r="AF97" s="110"/>
      <c r="AG97" s="110"/>
      <c r="AH97" s="110"/>
      <c r="AI97" s="110"/>
      <c r="AJ97" s="110"/>
      <c r="AK97" s="110"/>
      <c r="AL97" s="110"/>
      <c r="AM97" s="110"/>
      <c r="AO97" s="7"/>
      <c r="AP97" s="110"/>
      <c r="AR97" s="105"/>
      <c r="AS97" s="105"/>
    </row>
    <row r="98" spans="2:47" ht="15" customHeight="1">
      <c r="E98" s="1348" t="s">
        <v>111</v>
      </c>
      <c r="F98" s="1349"/>
      <c r="G98" s="42"/>
      <c r="H98" s="11"/>
      <c r="I98" s="1215">
        <f>+I96+I89</f>
        <v>27113.621247211999</v>
      </c>
      <c r="J98" s="1216">
        <f>+J96+J89</f>
        <v>25985.404052630001</v>
      </c>
      <c r="K98" s="1216">
        <f>+I98-J98</f>
        <v>1128.2171945819973</v>
      </c>
      <c r="L98" s="1217">
        <f>+K98/J98</f>
        <v>4.3417342762765689E-2</v>
      </c>
      <c r="M98" s="211"/>
      <c r="Q98" s="248"/>
      <c r="R98" s="247"/>
      <c r="S98" s="42"/>
      <c r="U98" s="1213">
        <f>+K98/U2</f>
        <v>50.592699308609745</v>
      </c>
      <c r="V98" s="248"/>
      <c r="W98" s="248"/>
      <c r="X98" s="248"/>
      <c r="Y98" s="248"/>
      <c r="Z98" s="248"/>
      <c r="AA98" s="248"/>
      <c r="AB98" s="248"/>
      <c r="AC98" s="110"/>
      <c r="AD98" s="110"/>
      <c r="AE98" s="110"/>
      <c r="AF98" s="110"/>
      <c r="AG98" s="110"/>
      <c r="AH98" s="110"/>
      <c r="AI98" s="110"/>
      <c r="AJ98" s="110"/>
      <c r="AK98" s="110"/>
      <c r="AL98" s="110"/>
      <c r="AM98" s="110"/>
      <c r="AO98" s="7"/>
      <c r="AP98" s="110"/>
      <c r="AR98" s="105"/>
      <c r="AS98" s="105"/>
    </row>
    <row r="99" spans="2:47" ht="15" customHeight="1" thickBot="1">
      <c r="I99" s="184"/>
      <c r="J99" s="184"/>
      <c r="K99" s="184"/>
      <c r="M99" s="211"/>
      <c r="P99" s="118"/>
      <c r="Q99" s="118"/>
      <c r="R99" s="213"/>
      <c r="S99" s="1203"/>
      <c r="U99" s="158"/>
      <c r="V99" s="158"/>
      <c r="W99" s="158"/>
      <c r="X99" s="158"/>
      <c r="Y99" s="158"/>
      <c r="Z99" s="158"/>
      <c r="AA99" s="158"/>
      <c r="AB99" s="110"/>
      <c r="AC99" s="110"/>
      <c r="AD99" s="110"/>
      <c r="AE99" s="110"/>
      <c r="AF99" s="110"/>
      <c r="AG99" s="110"/>
      <c r="AH99" s="110"/>
      <c r="AI99" s="110"/>
      <c r="AJ99" s="110"/>
      <c r="AK99" s="110"/>
      <c r="AL99" s="110"/>
      <c r="AM99" s="110"/>
      <c r="AO99" s="7"/>
      <c r="AP99" s="110"/>
      <c r="AR99" s="105"/>
      <c r="AS99" s="105"/>
    </row>
    <row r="100" spans="2:47" ht="15" customHeight="1" thickBot="1">
      <c r="E100" s="270" t="s">
        <v>1395</v>
      </c>
      <c r="F100" s="279"/>
      <c r="G100" s="271"/>
      <c r="H100" s="279"/>
      <c r="I100" s="1353"/>
      <c r="J100" s="184"/>
      <c r="K100" s="184"/>
      <c r="P100" s="118"/>
      <c r="Q100" s="118"/>
      <c r="R100" s="213"/>
      <c r="S100" s="1203"/>
      <c r="U100" s="158"/>
      <c r="V100" s="158"/>
      <c r="W100" s="158"/>
      <c r="X100" s="158"/>
      <c r="Y100" s="158"/>
      <c r="Z100" s="158"/>
      <c r="AA100" s="158"/>
      <c r="AB100" s="110"/>
      <c r="AC100" s="110"/>
      <c r="AD100" s="110"/>
      <c r="AE100" s="110"/>
      <c r="AF100" s="110"/>
      <c r="AG100" s="110"/>
      <c r="AH100" s="110"/>
      <c r="AI100" s="110"/>
      <c r="AJ100" s="110"/>
      <c r="AK100" s="110"/>
      <c r="AL100" s="110"/>
      <c r="AM100" s="110"/>
      <c r="AO100" s="7"/>
      <c r="AP100" s="110"/>
      <c r="AR100" s="105"/>
      <c r="AS100" s="105"/>
    </row>
    <row r="101" spans="2:47" ht="15" customHeight="1">
      <c r="I101" s="184"/>
      <c r="J101" s="184"/>
      <c r="K101" s="184"/>
      <c r="P101" s="118"/>
      <c r="Q101" s="118"/>
      <c r="R101" s="213"/>
      <c r="S101" s="1203"/>
      <c r="U101" s="158"/>
      <c r="V101" s="158"/>
      <c r="W101" s="158"/>
      <c r="X101" s="158"/>
      <c r="Y101" s="158"/>
      <c r="Z101" s="158"/>
      <c r="AA101" s="158"/>
      <c r="AB101" s="110"/>
      <c r="AC101" s="110"/>
      <c r="AD101" s="110"/>
      <c r="AE101" s="110"/>
      <c r="AF101" s="110"/>
      <c r="AG101" s="110"/>
      <c r="AH101" s="110"/>
      <c r="AI101" s="110"/>
      <c r="AJ101" s="110"/>
      <c r="AK101" s="110"/>
      <c r="AL101" s="110"/>
      <c r="AM101" s="110"/>
      <c r="AO101" s="7"/>
      <c r="AP101" s="110"/>
      <c r="AR101" s="105"/>
      <c r="AS101" s="105"/>
    </row>
    <row r="102" spans="2:47" ht="15" customHeight="1">
      <c r="B102" s="159" t="s">
        <v>21</v>
      </c>
      <c r="C102" s="14">
        <f>+C8</f>
        <v>0.7248</v>
      </c>
      <c r="D102" s="14">
        <f>+D8</f>
        <v>0.71799999999999997</v>
      </c>
      <c r="E102" s="14" t="s">
        <v>1733</v>
      </c>
      <c r="F102" s="24" t="s">
        <v>1976</v>
      </c>
      <c r="G102" s="1204"/>
      <c r="H102" s="24"/>
      <c r="I102" s="196">
        <f t="shared" ref="I102:J103" si="58">+P102*C102</f>
        <v>364.71935999999999</v>
      </c>
      <c r="J102" s="197">
        <f t="shared" si="58"/>
        <v>436.87715200000002</v>
      </c>
      <c r="K102" s="197">
        <f t="shared" ref="K102:K103" si="59">+I102-J102</f>
        <v>-72.157792000000029</v>
      </c>
      <c r="L102" s="1205"/>
      <c r="M102" s="109"/>
      <c r="N102" s="16"/>
      <c r="O102" s="14"/>
      <c r="P102" s="160">
        <f>+S102*U102</f>
        <v>503.2</v>
      </c>
      <c r="Q102" s="160">
        <f t="shared" ref="Q102:Q107" si="60">+S102*V102</f>
        <v>608.46400000000006</v>
      </c>
      <c r="R102" s="1206"/>
      <c r="S102" s="91">
        <v>27.2</v>
      </c>
      <c r="T102" s="15"/>
      <c r="U102" s="176">
        <v>18.5</v>
      </c>
      <c r="V102" s="191">
        <v>22.37</v>
      </c>
      <c r="W102" s="162"/>
      <c r="X102" s="191">
        <v>13.44</v>
      </c>
      <c r="Y102" s="1692">
        <v>7.96</v>
      </c>
      <c r="Z102" s="1522">
        <v>7.9</v>
      </c>
      <c r="AA102" s="1458">
        <v>7.9</v>
      </c>
      <c r="AB102" s="192"/>
      <c r="AC102" s="192"/>
      <c r="AD102" s="192"/>
      <c r="AE102" s="192"/>
      <c r="AF102" s="192"/>
      <c r="AG102" s="192"/>
      <c r="AH102" s="192"/>
      <c r="AI102" s="192"/>
      <c r="AJ102" s="192"/>
      <c r="AK102" s="204"/>
      <c r="AL102" s="204"/>
      <c r="AM102" s="204"/>
      <c r="AN102" s="148"/>
      <c r="AO102" s="110"/>
      <c r="AP102" s="164"/>
      <c r="AR102" s="136"/>
      <c r="AS102" s="105"/>
      <c r="AT102" s="60" t="s">
        <v>1961</v>
      </c>
    </row>
    <row r="103" spans="2:47" ht="15" customHeight="1">
      <c r="B103" s="80" t="s">
        <v>21</v>
      </c>
      <c r="C103" s="58">
        <f>+C8</f>
        <v>0.7248</v>
      </c>
      <c r="D103" s="58">
        <f>+D8</f>
        <v>0.71799999999999997</v>
      </c>
      <c r="E103" s="58" t="s">
        <v>1733</v>
      </c>
      <c r="F103" t="s">
        <v>217</v>
      </c>
      <c r="G103" s="295"/>
      <c r="I103" s="183">
        <f t="shared" si="58"/>
        <v>240.01751999999999</v>
      </c>
      <c r="J103" s="184">
        <f t="shared" si="58"/>
        <v>287.503714</v>
      </c>
      <c r="K103" s="184">
        <f t="shared" si="59"/>
        <v>-47.486194000000012</v>
      </c>
      <c r="L103" s="67"/>
      <c r="M103" s="107"/>
      <c r="N103" s="75"/>
      <c r="O103" s="58"/>
      <c r="P103" s="144">
        <f>+S103*U103</f>
        <v>331.15</v>
      </c>
      <c r="Q103" s="144">
        <f t="shared" si="60"/>
        <v>400.423</v>
      </c>
      <c r="R103" s="86"/>
      <c r="S103" s="88">
        <v>17.899999999999999</v>
      </c>
      <c r="U103" s="166">
        <v>18.5</v>
      </c>
      <c r="V103" s="192">
        <v>22.37</v>
      </c>
      <c r="W103" s="162"/>
      <c r="X103" s="192">
        <v>13.44</v>
      </c>
      <c r="Y103" s="1693">
        <v>11.5</v>
      </c>
      <c r="Z103" s="1458"/>
      <c r="AA103" s="1458"/>
      <c r="AB103" s="192"/>
      <c r="AC103" s="192"/>
      <c r="AD103" s="192"/>
      <c r="AE103" s="192"/>
      <c r="AF103" s="192"/>
      <c r="AG103" s="192"/>
      <c r="AH103" s="192"/>
      <c r="AI103" s="192"/>
      <c r="AJ103" s="192"/>
      <c r="AK103" s="204"/>
      <c r="AL103" s="204"/>
      <c r="AM103" s="204"/>
      <c r="AN103" s="148"/>
      <c r="AO103" s="110"/>
      <c r="AP103" s="164"/>
      <c r="AR103" s="136"/>
      <c r="AS103" s="105"/>
      <c r="AT103" s="60" t="s">
        <v>1962</v>
      </c>
    </row>
    <row r="104" spans="2:47">
      <c r="B104" s="80" t="s">
        <v>20</v>
      </c>
      <c r="C104" s="58">
        <v>1</v>
      </c>
      <c r="D104" s="58">
        <v>1</v>
      </c>
      <c r="E104" s="58" t="s">
        <v>30</v>
      </c>
      <c r="F104" s="282" t="s">
        <v>1008</v>
      </c>
      <c r="G104" s="545"/>
      <c r="H104" s="282"/>
      <c r="I104" s="218">
        <v>300</v>
      </c>
      <c r="J104" s="310">
        <v>300</v>
      </c>
      <c r="K104" s="184">
        <f t="shared" si="57"/>
        <v>0</v>
      </c>
      <c r="L104" s="185"/>
      <c r="M104" s="199"/>
      <c r="N104" s="184"/>
      <c r="O104" s="58" t="s">
        <v>20</v>
      </c>
      <c r="P104" s="144">
        <f>+S104*U104</f>
        <v>299</v>
      </c>
      <c r="Q104" s="144">
        <f t="shared" si="60"/>
        <v>299</v>
      </c>
      <c r="R104" s="187"/>
      <c r="S104" s="80">
        <v>13</v>
      </c>
      <c r="U104" s="663">
        <v>23</v>
      </c>
      <c r="V104" s="663">
        <v>23</v>
      </c>
      <c r="W104" s="162"/>
      <c r="X104" s="663">
        <v>23</v>
      </c>
      <c r="Y104" s="1693">
        <v>23</v>
      </c>
      <c r="Z104" s="663">
        <v>23</v>
      </c>
      <c r="AA104" s="663">
        <v>23</v>
      </c>
      <c r="AB104" s="663">
        <v>23</v>
      </c>
      <c r="AC104" s="663">
        <v>23</v>
      </c>
      <c r="AD104" s="663">
        <v>23</v>
      </c>
      <c r="AE104" s="663">
        <v>23</v>
      </c>
      <c r="AF104" s="663">
        <v>23</v>
      </c>
      <c r="AG104" s="663">
        <v>23</v>
      </c>
      <c r="AH104" s="663">
        <v>23</v>
      </c>
      <c r="AI104" s="663">
        <v>23</v>
      </c>
      <c r="AJ104" s="663">
        <v>23</v>
      </c>
      <c r="AK104" s="663">
        <v>23</v>
      </c>
      <c r="AL104" s="663">
        <v>23</v>
      </c>
      <c r="AM104" s="663">
        <v>23</v>
      </c>
      <c r="AN104" s="663">
        <v>23</v>
      </c>
      <c r="AO104" s="663">
        <v>23</v>
      </c>
      <c r="AP104" s="663">
        <v>23</v>
      </c>
      <c r="AR104" s="138"/>
      <c r="AS104" s="139"/>
      <c r="AT104" s="100" t="s">
        <v>1009</v>
      </c>
    </row>
    <row r="105" spans="2:47">
      <c r="B105" s="80" t="s">
        <v>20</v>
      </c>
      <c r="C105" s="58">
        <v>1</v>
      </c>
      <c r="D105" s="58">
        <v>1</v>
      </c>
      <c r="E105" s="58" t="s">
        <v>30</v>
      </c>
      <c r="F105" s="282" t="s">
        <v>1008</v>
      </c>
      <c r="G105" s="545"/>
      <c r="H105" s="282"/>
      <c r="I105" s="218">
        <v>200</v>
      </c>
      <c r="J105" s="310">
        <v>200</v>
      </c>
      <c r="K105" s="184">
        <f t="shared" si="57"/>
        <v>0</v>
      </c>
      <c r="L105" s="185"/>
      <c r="M105" s="199"/>
      <c r="N105" s="184"/>
      <c r="O105" s="58" t="s">
        <v>20</v>
      </c>
      <c r="P105" s="144">
        <f t="shared" ref="P105:P107" si="61">+S105*U105</f>
        <v>200.85899999999998</v>
      </c>
      <c r="Q105" s="144">
        <f t="shared" si="60"/>
        <v>200.85899999999998</v>
      </c>
      <c r="R105" s="187"/>
      <c r="S105" s="80">
        <v>12.3</v>
      </c>
      <c r="U105" s="663">
        <v>16.329999999999998</v>
      </c>
      <c r="V105" s="663">
        <v>16.329999999999998</v>
      </c>
      <c r="W105" s="162"/>
      <c r="X105" s="663">
        <v>16.329999999999998</v>
      </c>
      <c r="Y105" s="1693">
        <v>16.329999999999998</v>
      </c>
      <c r="Z105" s="663">
        <v>16.329999999999998</v>
      </c>
      <c r="AA105" s="663">
        <v>16.329999999999998</v>
      </c>
      <c r="AB105" s="663">
        <v>16.329999999999998</v>
      </c>
      <c r="AC105" s="192">
        <v>16.329999999999998</v>
      </c>
      <c r="AD105" s="192">
        <v>16.329999999999998</v>
      </c>
      <c r="AE105" s="192">
        <v>23</v>
      </c>
      <c r="AF105" s="192">
        <v>6</v>
      </c>
      <c r="AG105" s="316">
        <v>6</v>
      </c>
      <c r="AH105" s="192">
        <v>7.46</v>
      </c>
      <c r="AI105" s="192">
        <v>9.35</v>
      </c>
      <c r="AJ105" s="192">
        <v>9.73</v>
      </c>
      <c r="AK105" s="192">
        <v>12.22</v>
      </c>
      <c r="AL105" s="192">
        <v>8.43</v>
      </c>
      <c r="AM105" s="192">
        <v>6.63</v>
      </c>
      <c r="AN105" s="203">
        <v>6</v>
      </c>
      <c r="AO105" s="110"/>
      <c r="AP105" s="165"/>
      <c r="AR105" s="138"/>
      <c r="AS105" s="139"/>
      <c r="AT105" s="100" t="s">
        <v>1058</v>
      </c>
    </row>
    <row r="106" spans="2:47">
      <c r="B106" s="155" t="s">
        <v>20</v>
      </c>
      <c r="C106" s="168">
        <v>1</v>
      </c>
      <c r="D106" s="168">
        <v>1</v>
      </c>
      <c r="E106" s="168" t="s">
        <v>74</v>
      </c>
      <c r="F106" s="154" t="s">
        <v>73</v>
      </c>
      <c r="G106" s="546"/>
      <c r="H106" s="154"/>
      <c r="I106" s="218">
        <v>100</v>
      </c>
      <c r="J106" s="310">
        <v>100</v>
      </c>
      <c r="K106" s="184">
        <f>+I106-J106</f>
        <v>0</v>
      </c>
      <c r="L106" s="185">
        <f>+K106/J106</f>
        <v>0</v>
      </c>
      <c r="M106" s="186"/>
      <c r="N106" s="262"/>
      <c r="O106" s="168" t="s">
        <v>20</v>
      </c>
      <c r="P106" s="144">
        <f t="shared" si="61"/>
        <v>14.700000000000001</v>
      </c>
      <c r="Q106" s="144">
        <f t="shared" si="60"/>
        <v>14.700000000000001</v>
      </c>
      <c r="R106" s="167"/>
      <c r="S106" s="210">
        <v>3</v>
      </c>
      <c r="T106" s="188">
        <v>5.25</v>
      </c>
      <c r="U106" s="662">
        <v>4.9000000000000004</v>
      </c>
      <c r="V106" s="662">
        <v>4.9000000000000004</v>
      </c>
      <c r="W106" s="188"/>
      <c r="X106" s="662">
        <v>4.9000000000000004</v>
      </c>
      <c r="Y106" s="1694">
        <v>4.9000000000000004</v>
      </c>
      <c r="Z106" s="662">
        <v>4.9000000000000004</v>
      </c>
      <c r="AA106" s="662">
        <v>4.9000000000000004</v>
      </c>
      <c r="AB106" s="662">
        <v>4.9000000000000004</v>
      </c>
      <c r="AC106" s="189">
        <v>2.93</v>
      </c>
      <c r="AD106" s="189">
        <v>2.8</v>
      </c>
      <c r="AE106" s="189">
        <v>2.85</v>
      </c>
      <c r="AF106" s="189">
        <v>4.9000000000000004</v>
      </c>
      <c r="AG106" s="189">
        <v>2.91</v>
      </c>
      <c r="AH106" s="189">
        <v>3.58</v>
      </c>
      <c r="AI106" s="189">
        <v>3.37</v>
      </c>
      <c r="AJ106" s="189">
        <v>3.75</v>
      </c>
      <c r="AK106" s="189">
        <v>4.6100000000000003</v>
      </c>
      <c r="AL106" s="189">
        <v>4.5599999999999996</v>
      </c>
      <c r="AM106" s="189">
        <v>5.25</v>
      </c>
      <c r="AN106" s="104"/>
      <c r="AO106" s="105"/>
      <c r="AP106" s="180"/>
      <c r="AQ106" s="263">
        <v>8.11</v>
      </c>
      <c r="AR106" s="156"/>
      <c r="AS106" s="157"/>
      <c r="AT106" s="510" t="s">
        <v>844</v>
      </c>
    </row>
    <row r="107" spans="2:47">
      <c r="B107" s="656" t="s">
        <v>950</v>
      </c>
      <c r="C107" s="1544">
        <v>1.3460000000000001</v>
      </c>
      <c r="D107" s="1545">
        <v>1.3240000000000001</v>
      </c>
      <c r="E107" s="1545" t="s">
        <v>951</v>
      </c>
      <c r="F107" s="419" t="s">
        <v>953</v>
      </c>
      <c r="G107" s="1546"/>
      <c r="H107" s="419"/>
      <c r="I107" s="1547">
        <v>0</v>
      </c>
      <c r="J107" s="1548">
        <v>0</v>
      </c>
      <c r="K107" s="1417">
        <f t="shared" ref="K107" si="62">+I107-J107</f>
        <v>0</v>
      </c>
      <c r="L107" s="1549"/>
      <c r="M107" s="1550"/>
      <c r="N107" s="1551"/>
      <c r="O107" s="1545" t="s">
        <v>950</v>
      </c>
      <c r="P107" s="161">
        <f t="shared" si="61"/>
        <v>18.720000000000002</v>
      </c>
      <c r="Q107" s="161">
        <f t="shared" si="60"/>
        <v>18.720000000000002</v>
      </c>
      <c r="R107" s="1552"/>
      <c r="S107" s="1227">
        <v>41.6</v>
      </c>
      <c r="T107" s="1553"/>
      <c r="U107" s="1554">
        <v>0.45</v>
      </c>
      <c r="V107" s="1554">
        <v>0.45</v>
      </c>
      <c r="W107" s="188"/>
      <c r="X107" s="1554">
        <v>0.45</v>
      </c>
      <c r="Y107" s="1695">
        <v>0.45</v>
      </c>
      <c r="Z107" s="662">
        <v>0.45</v>
      </c>
      <c r="AA107" s="662">
        <v>0.45</v>
      </c>
      <c r="AB107" s="662">
        <v>0.45</v>
      </c>
      <c r="AC107" s="189">
        <v>0.45</v>
      </c>
      <c r="AD107" s="662">
        <v>0.45</v>
      </c>
      <c r="AE107" s="189">
        <v>0.45</v>
      </c>
      <c r="AF107" s="189"/>
      <c r="AG107" s="189"/>
      <c r="AH107" s="189"/>
      <c r="AI107" s="189"/>
      <c r="AJ107" s="189"/>
      <c r="AK107" s="189"/>
      <c r="AL107" s="189"/>
      <c r="AM107" s="189"/>
      <c r="AN107" s="104"/>
      <c r="AO107" s="105"/>
      <c r="AP107" s="105"/>
      <c r="AQ107" s="263"/>
      <c r="AR107" s="263"/>
      <c r="AS107" s="262"/>
      <c r="AT107" s="510" t="s">
        <v>952</v>
      </c>
    </row>
    <row r="109" spans="2:47" ht="6" customHeight="1">
      <c r="F109" s="282"/>
      <c r="G109" s="283"/>
      <c r="H109" s="282"/>
      <c r="I109" s="184"/>
      <c r="J109" s="184"/>
      <c r="K109" s="184"/>
      <c r="L109" s="278"/>
      <c r="M109" s="184"/>
      <c r="N109" s="184"/>
      <c r="P109" s="118"/>
      <c r="Q109" s="118"/>
      <c r="R109" s="213"/>
      <c r="U109" s="110"/>
      <c r="V109" s="110"/>
      <c r="W109" s="110"/>
      <c r="X109" s="110"/>
      <c r="Y109" s="110"/>
      <c r="Z109" s="110"/>
      <c r="AA109" s="110"/>
      <c r="AB109" s="110"/>
      <c r="AC109" s="110"/>
      <c r="AD109" s="110"/>
      <c r="AE109" s="110"/>
      <c r="AF109" s="110"/>
      <c r="AG109" s="110"/>
      <c r="AH109" s="110"/>
      <c r="AI109" s="110"/>
      <c r="AJ109" s="110"/>
      <c r="AK109" s="110"/>
      <c r="AL109" s="110"/>
      <c r="AM109" s="110"/>
      <c r="AN109" s="110"/>
      <c r="AO109" s="280"/>
      <c r="AP109" s="281"/>
      <c r="AR109" s="105"/>
      <c r="AS109" s="105"/>
      <c r="AT109" s="152"/>
      <c r="AU109" s="10"/>
    </row>
    <row r="110" spans="2:47" ht="15" customHeight="1">
      <c r="E110" s="796" t="s">
        <v>1562</v>
      </c>
      <c r="F110" s="874"/>
      <c r="G110" s="58"/>
      <c r="I110" s="1354">
        <f>SUM(I102:I109)</f>
        <v>1204.7368799999999</v>
      </c>
      <c r="J110" s="1355">
        <f>SUM(J102:J109)</f>
        <v>1324.380866</v>
      </c>
      <c r="K110" s="1356">
        <f>+I110-J110</f>
        <v>-119.64398600000004</v>
      </c>
      <c r="L110" s="797"/>
      <c r="Q110" s="248"/>
      <c r="R110" s="247"/>
      <c r="S110" s="42"/>
      <c r="U110" s="1357">
        <f>+K110/U2</f>
        <v>-5.3652011659192844</v>
      </c>
      <c r="V110" s="248"/>
      <c r="W110" s="248"/>
      <c r="X110" s="248"/>
      <c r="Y110" s="248"/>
      <c r="Z110" s="248"/>
      <c r="AA110" s="248"/>
      <c r="AB110" s="248"/>
      <c r="AC110" s="299"/>
      <c r="AD110" s="774" t="s">
        <v>1075</v>
      </c>
      <c r="AP110" s="5"/>
      <c r="AR110" s="105"/>
      <c r="AS110" s="105"/>
    </row>
    <row r="111" spans="2:47" ht="15" customHeight="1">
      <c r="K111" s="29"/>
      <c r="R111" s="213"/>
      <c r="AP111" s="5"/>
      <c r="AR111" s="105"/>
      <c r="AS111" s="105"/>
    </row>
    <row r="112" spans="2:47" ht="15" customHeight="1">
      <c r="E112" s="1348" t="s">
        <v>1561</v>
      </c>
      <c r="F112" s="1349"/>
      <c r="G112" s="42"/>
      <c r="H112" s="11"/>
      <c r="I112" s="1215">
        <f>+I98+I110</f>
        <v>28318.358127211999</v>
      </c>
      <c r="J112" s="1216">
        <f>+J98+J110</f>
        <v>27309.784918630001</v>
      </c>
      <c r="K112" s="1216">
        <f>+K98+K110</f>
        <v>1008.5732085819973</v>
      </c>
      <c r="L112" s="1217">
        <f>+K112/J112</f>
        <v>3.6930836752726522E-2</v>
      </c>
      <c r="Q112" s="248"/>
      <c r="R112" s="247"/>
      <c r="S112" s="42"/>
      <c r="U112" s="1358">
        <f>+K112/U2</f>
        <v>45.227498142690457</v>
      </c>
      <c r="V112" s="248"/>
      <c r="W112" s="248"/>
      <c r="X112" s="248"/>
      <c r="Y112" s="248"/>
      <c r="Z112" s="248"/>
      <c r="AP112" s="5"/>
      <c r="AR112" s="105"/>
      <c r="AS112" s="105"/>
      <c r="AT112">
        <v>20419</v>
      </c>
      <c r="AU112">
        <v>507</v>
      </c>
    </row>
    <row r="113" spans="2:50" ht="15" customHeight="1">
      <c r="K113" s="29"/>
      <c r="R113" s="213"/>
      <c r="AP113" s="5"/>
      <c r="AR113" s="105"/>
      <c r="AS113" s="105"/>
    </row>
    <row r="114" spans="2:50" ht="15" customHeight="1">
      <c r="K114" s="29"/>
      <c r="R114" s="213"/>
      <c r="AP114" s="5"/>
      <c r="AR114" s="105"/>
      <c r="AS114" s="105"/>
    </row>
    <row r="115" spans="2:50" ht="15" customHeight="1">
      <c r="I115" s="2075" t="s">
        <v>1268</v>
      </c>
      <c r="J115" s="2078"/>
      <c r="K115" s="2076"/>
      <c r="R115" s="213"/>
      <c r="AP115" s="5"/>
      <c r="AR115" s="105"/>
      <c r="AS115" s="105"/>
    </row>
    <row r="116" spans="2:50" ht="15" customHeight="1">
      <c r="I116" s="40" t="s">
        <v>19</v>
      </c>
      <c r="J116" s="40" t="s">
        <v>19</v>
      </c>
      <c r="K116" s="2077" t="s">
        <v>16</v>
      </c>
      <c r="L116" s="2072"/>
      <c r="R116" s="6"/>
      <c r="S116" s="159" t="s">
        <v>959</v>
      </c>
      <c r="U116" s="40">
        <v>2026</v>
      </c>
      <c r="V116" s="40">
        <v>2026</v>
      </c>
      <c r="W116" s="71"/>
      <c r="X116" s="40">
        <v>2025</v>
      </c>
      <c r="Y116" s="212">
        <v>2024</v>
      </c>
      <c r="Z116" s="122"/>
      <c r="AA116" s="123"/>
      <c r="AP116" s="5"/>
      <c r="AR116" s="105"/>
      <c r="AS116" s="105"/>
    </row>
    <row r="117" spans="2:50">
      <c r="E117" s="11" t="s">
        <v>1649</v>
      </c>
      <c r="G117" s="59"/>
      <c r="I117" s="780">
        <f>+U117</f>
        <v>46171</v>
      </c>
      <c r="J117" s="780">
        <f>+J6</f>
        <v>46387</v>
      </c>
      <c r="K117" s="39" t="s">
        <v>17</v>
      </c>
      <c r="L117" s="39" t="s">
        <v>39</v>
      </c>
      <c r="M117" s="839"/>
      <c r="S117" s="1403" t="s">
        <v>1110</v>
      </c>
      <c r="U117" s="1963">
        <v>46171</v>
      </c>
      <c r="V117" s="780">
        <v>46112</v>
      </c>
      <c r="W117" s="1691"/>
      <c r="X117" s="780">
        <v>45747</v>
      </c>
      <c r="Y117" s="169">
        <f>+Y6</f>
        <v>46022</v>
      </c>
      <c r="Z117" s="300">
        <v>45565</v>
      </c>
      <c r="AA117" s="300">
        <v>45473</v>
      </c>
      <c r="AB117" s="128"/>
      <c r="AC117" s="128"/>
      <c r="AD117" s="128"/>
      <c r="AE117" s="128"/>
      <c r="AF117" s="128"/>
      <c r="AG117" s="128"/>
      <c r="AH117" s="128"/>
      <c r="AI117" s="128"/>
      <c r="AJ117" s="128"/>
      <c r="AK117" s="128"/>
      <c r="AL117" s="128"/>
      <c r="AM117" s="128"/>
      <c r="AN117" s="124"/>
      <c r="AR117" s="124"/>
      <c r="AS117" s="124"/>
      <c r="AT117" s="25"/>
    </row>
    <row r="118" spans="2:50">
      <c r="B118" s="26" t="s">
        <v>24</v>
      </c>
      <c r="C118" s="45">
        <f>+C63</f>
        <v>1.0529999999999999E-2</v>
      </c>
      <c r="D118" s="45">
        <f>+D63</f>
        <v>1.0699999999999999E-2</v>
      </c>
      <c r="E118" s="27" t="s">
        <v>1651</v>
      </c>
      <c r="F118" s="63" t="s">
        <v>1650</v>
      </c>
      <c r="G118" s="706"/>
      <c r="H118" s="46"/>
      <c r="I118" s="1405">
        <f t="shared" ref="I118" si="63">+C118*P118</f>
        <v>2961.4597798499999</v>
      </c>
      <c r="J118" s="207">
        <f>+D118*Q118</f>
        <v>3207.75442845</v>
      </c>
      <c r="K118" s="207">
        <f t="shared" ref="K118" si="64">+I118-J118</f>
        <v>-246.29464860000007</v>
      </c>
      <c r="L118" s="908">
        <f t="shared" ref="L118" si="65">+K118/J118</f>
        <v>-7.6781017404443472E-2</v>
      </c>
      <c r="M118" s="207"/>
      <c r="N118" s="46"/>
      <c r="O118" s="45" t="s">
        <v>24</v>
      </c>
      <c r="P118" s="514">
        <f>+S118*U118</f>
        <v>281240.245</v>
      </c>
      <c r="Q118" s="326">
        <f>+S118*V118</f>
        <v>299790.1335</v>
      </c>
      <c r="R118" s="49"/>
      <c r="S118" s="45">
        <v>920.59</v>
      </c>
      <c r="U118" s="1401">
        <v>305.5</v>
      </c>
      <c r="V118" s="1401">
        <v>325.64999999999998</v>
      </c>
      <c r="W118" s="1533"/>
      <c r="X118" s="1400">
        <v>288.10000000000002</v>
      </c>
      <c r="Y118" s="1400">
        <v>316.55</v>
      </c>
      <c r="Z118" s="1400">
        <v>376.7</v>
      </c>
      <c r="AA118" s="1400">
        <v>338</v>
      </c>
      <c r="AB118" s="128"/>
      <c r="AC118" s="330"/>
      <c r="AD118" s="330"/>
      <c r="AE118" s="330"/>
      <c r="AF118" s="330"/>
      <c r="AG118" s="330"/>
      <c r="AH118" s="330"/>
      <c r="AI118" s="330"/>
      <c r="AJ118" s="330"/>
      <c r="AK118" s="330"/>
      <c r="AL118" s="330"/>
      <c r="AM118" s="330"/>
      <c r="AN118" s="331"/>
      <c r="AO118" s="27"/>
      <c r="AP118" s="27"/>
      <c r="AR118" s="331"/>
      <c r="AS118" s="331"/>
      <c r="AT118" s="50" t="s">
        <v>1652</v>
      </c>
      <c r="AU118" s="28"/>
      <c r="AW118">
        <v>373.9</v>
      </c>
      <c r="AX118">
        <v>338</v>
      </c>
    </row>
    <row r="119" spans="2:50">
      <c r="B119" s="26"/>
      <c r="C119" s="27"/>
      <c r="D119" s="27"/>
      <c r="E119" s="27"/>
      <c r="F119" s="63" t="s">
        <v>1653</v>
      </c>
      <c r="G119" s="913">
        <v>0.73599999999999999</v>
      </c>
      <c r="H119" s="46"/>
      <c r="I119" s="207">
        <f>+I118*G119</f>
        <v>2179.6343979695998</v>
      </c>
      <c r="J119" s="207">
        <f>+J118*G119</f>
        <v>2360.9072593391998</v>
      </c>
      <c r="K119" s="207">
        <f t="shared" ref="K119" si="66">+I119-J119</f>
        <v>-181.27286136959992</v>
      </c>
      <c r="L119" s="631">
        <f t="shared" ref="L119" si="67">+K119/J119</f>
        <v>-7.678101740444343E-2</v>
      </c>
      <c r="M119" s="207"/>
      <c r="N119" s="46"/>
      <c r="O119" s="45"/>
      <c r="P119" s="514"/>
      <c r="Q119" s="514"/>
      <c r="R119" s="45"/>
      <c r="S119" s="44">
        <f>+G119*S118</f>
        <v>677.55424000000005</v>
      </c>
      <c r="U119" s="1400"/>
      <c r="V119" s="1400"/>
      <c r="W119" s="1533"/>
      <c r="X119" s="1400"/>
      <c r="Y119" s="1400"/>
      <c r="Z119" s="1400"/>
      <c r="AA119" s="1400"/>
      <c r="AB119" s="128"/>
      <c r="AC119" s="128"/>
      <c r="AD119" s="128"/>
      <c r="AE119" s="128"/>
      <c r="AF119" s="128"/>
      <c r="AG119" s="128"/>
      <c r="AH119" s="128"/>
      <c r="AI119" s="128"/>
      <c r="AJ119" s="128"/>
      <c r="AK119" s="128"/>
      <c r="AL119" s="128"/>
      <c r="AM119" s="128"/>
      <c r="AN119" s="124"/>
      <c r="AR119" s="124"/>
      <c r="AS119" s="124"/>
      <c r="AT119" s="50" t="s">
        <v>1655</v>
      </c>
      <c r="AU119" s="28"/>
    </row>
    <row r="120" spans="2:50">
      <c r="B120" s="27"/>
      <c r="C120" s="27"/>
      <c r="D120" s="27"/>
      <c r="E120" s="1404" t="s">
        <v>1658</v>
      </c>
      <c r="F120" s="63"/>
      <c r="G120" s="251"/>
      <c r="H120" s="63"/>
      <c r="I120" s="252"/>
      <c r="J120" s="252"/>
      <c r="K120" s="252"/>
      <c r="L120" s="254"/>
      <c r="M120" s="252"/>
      <c r="N120" s="63"/>
      <c r="O120" s="27"/>
      <c r="P120" s="1406"/>
      <c r="Q120" s="1406"/>
      <c r="R120" s="27"/>
      <c r="S120" s="1407"/>
      <c r="U120" s="1408"/>
      <c r="V120" s="1408"/>
      <c r="W120" s="1534"/>
      <c r="X120" s="1408"/>
      <c r="Y120" s="1408"/>
      <c r="Z120" s="1408"/>
      <c r="AA120" s="1408"/>
      <c r="AB120" s="128"/>
      <c r="AC120" s="128"/>
      <c r="AD120" s="128"/>
      <c r="AE120" s="128"/>
      <c r="AF120" s="128"/>
      <c r="AG120" s="128"/>
      <c r="AH120" s="128"/>
      <c r="AI120" s="128"/>
      <c r="AJ120" s="128"/>
      <c r="AK120" s="128"/>
      <c r="AL120" s="128"/>
      <c r="AM120" s="128"/>
      <c r="AN120" s="124"/>
      <c r="AR120" s="124"/>
      <c r="AS120" s="124"/>
      <c r="AT120" s="63"/>
      <c r="AU120" s="28"/>
    </row>
    <row r="121" spans="2:50">
      <c r="B121" s="730"/>
      <c r="C121" s="776"/>
      <c r="D121" s="776"/>
      <c r="E121" s="1416" t="s">
        <v>1653</v>
      </c>
      <c r="F121" s="775"/>
      <c r="G121" s="1409">
        <v>0.49</v>
      </c>
      <c r="H121" s="438"/>
      <c r="I121" s="1410">
        <f>+I119*G121</f>
        <v>1068.0208550051038</v>
      </c>
      <c r="J121" s="1410">
        <f>+J119*G121</f>
        <v>1156.8445570762078</v>
      </c>
      <c r="K121" s="1410">
        <f t="shared" ref="K121" si="68">+I121-J121</f>
        <v>-88.82370207110398</v>
      </c>
      <c r="L121" s="732">
        <f t="shared" ref="L121" si="69">+K121/J121</f>
        <v>-7.6781017404443444E-2</v>
      </c>
      <c r="M121" s="1410"/>
      <c r="N121" s="438"/>
      <c r="O121" s="746"/>
      <c r="P121" s="1411"/>
      <c r="Q121" s="1411"/>
      <c r="R121" s="746"/>
      <c r="S121" s="889">
        <f>+S119*G121</f>
        <v>332.00157760000002</v>
      </c>
      <c r="U121" s="1400"/>
      <c r="V121" s="1400"/>
      <c r="W121" s="1533"/>
      <c r="X121" s="1400"/>
      <c r="Y121" s="1400"/>
      <c r="Z121" s="1400"/>
      <c r="AA121" s="1400"/>
      <c r="AB121" s="128"/>
      <c r="AC121" s="128"/>
      <c r="AD121" s="128"/>
      <c r="AE121" s="128"/>
      <c r="AF121" s="128"/>
      <c r="AG121" s="128"/>
      <c r="AH121" s="128"/>
      <c r="AI121" s="128"/>
      <c r="AJ121" s="128"/>
      <c r="AK121" s="128"/>
      <c r="AL121" s="128"/>
      <c r="AM121" s="128"/>
      <c r="AN121" s="124"/>
      <c r="AR121" s="124"/>
      <c r="AS121" s="124"/>
      <c r="AT121" s="914" t="s">
        <v>1656</v>
      </c>
      <c r="AU121" s="797"/>
    </row>
    <row r="122" spans="2:50">
      <c r="B122" s="730"/>
      <c r="C122" s="776"/>
      <c r="D122" s="776"/>
      <c r="E122" s="1416" t="s">
        <v>1659</v>
      </c>
      <c r="F122" s="775"/>
      <c r="G122" s="1409">
        <f>0.68-0.49</f>
        <v>0.19000000000000006</v>
      </c>
      <c r="H122" s="438"/>
      <c r="I122" s="1410">
        <f>+G122*I119</f>
        <v>414.13053561422407</v>
      </c>
      <c r="J122" s="1410">
        <f>+G122*J119</f>
        <v>448.57237927444811</v>
      </c>
      <c r="K122" s="1410">
        <f t="shared" ref="K122" si="70">+I122-J122</f>
        <v>-34.441843660224038</v>
      </c>
      <c r="L122" s="732">
        <f t="shared" ref="L122" si="71">+K122/J122</f>
        <v>-7.6781017404443513E-2</v>
      </c>
      <c r="M122" s="1410"/>
      <c r="N122" s="438"/>
      <c r="O122" s="746"/>
      <c r="P122" s="1411"/>
      <c r="Q122" s="1411"/>
      <c r="R122" s="746"/>
      <c r="S122" s="889">
        <f>+G122*S119</f>
        <v>128.73530560000006</v>
      </c>
      <c r="U122" s="1400"/>
      <c r="V122" s="1400"/>
      <c r="W122" s="1533"/>
      <c r="X122" s="1400"/>
      <c r="Y122" s="1400"/>
      <c r="Z122" s="1400"/>
      <c r="AA122" s="1400"/>
      <c r="AB122" s="128"/>
      <c r="AC122" s="128"/>
      <c r="AD122" s="128"/>
      <c r="AE122" s="128"/>
      <c r="AF122" s="128"/>
      <c r="AG122" s="128"/>
      <c r="AH122" s="128"/>
      <c r="AI122" s="128"/>
      <c r="AJ122" s="128"/>
      <c r="AK122" s="128"/>
      <c r="AL122" s="128"/>
      <c r="AM122" s="128"/>
      <c r="AN122" s="124"/>
      <c r="AR122" s="124"/>
      <c r="AS122" s="124"/>
      <c r="AT122" s="914" t="s">
        <v>1657</v>
      </c>
      <c r="AU122" s="797"/>
    </row>
    <row r="123" spans="2:50">
      <c r="B123" s="735"/>
      <c r="C123" s="1191"/>
      <c r="D123" s="1191"/>
      <c r="E123" s="1412" t="s">
        <v>1654</v>
      </c>
      <c r="F123" s="1413"/>
      <c r="G123" s="1402"/>
      <c r="H123" s="1167"/>
      <c r="I123" s="1414">
        <f>SUM(I121:I122)</f>
        <v>1482.1513906193279</v>
      </c>
      <c r="J123" s="1414">
        <f>SUM(J121:J122)</f>
        <v>1605.416936350656</v>
      </c>
      <c r="K123" s="1414">
        <f t="shared" ref="K123" si="72">+I123-J123</f>
        <v>-123.26554573132807</v>
      </c>
      <c r="L123" s="1322">
        <f t="shared" ref="L123" si="73">+K123/J123</f>
        <v>-7.67810174044435E-2</v>
      </c>
      <c r="M123" s="1414"/>
      <c r="N123" s="1167"/>
      <c r="O123" s="981"/>
      <c r="P123" s="1212"/>
      <c r="Q123" s="1212"/>
      <c r="R123" s="981"/>
      <c r="S123" s="1415">
        <f>SUM(S121:S122)</f>
        <v>460.73688320000008</v>
      </c>
      <c r="U123" s="1400"/>
      <c r="V123" s="1400"/>
      <c r="W123" s="1533"/>
      <c r="X123" s="1400"/>
      <c r="Y123" s="1400"/>
      <c r="Z123" s="1400"/>
      <c r="AA123" s="1400"/>
      <c r="AB123" s="128"/>
      <c r="AC123" s="128"/>
      <c r="AD123" s="128"/>
      <c r="AE123" s="128"/>
      <c r="AF123" s="128"/>
      <c r="AG123" s="128"/>
      <c r="AH123" s="128"/>
      <c r="AI123" s="128"/>
      <c r="AJ123" s="128"/>
      <c r="AK123" s="128"/>
      <c r="AL123" s="128"/>
      <c r="AM123" s="128"/>
      <c r="AN123" s="124"/>
      <c r="AR123" s="124"/>
      <c r="AS123" s="124"/>
      <c r="AT123" s="802"/>
      <c r="AU123" s="1349"/>
    </row>
    <row r="124" spans="2:50">
      <c r="G124" s="306"/>
      <c r="I124" s="75"/>
      <c r="J124" s="130"/>
      <c r="K124" s="75"/>
      <c r="O124" s="7"/>
      <c r="U124" s="128"/>
      <c r="V124" s="128"/>
      <c r="W124" s="128"/>
      <c r="X124" s="128"/>
      <c r="Y124" s="128"/>
      <c r="Z124" s="128"/>
      <c r="AA124" s="128"/>
      <c r="AB124" s="128"/>
      <c r="AC124" s="128"/>
      <c r="AD124" s="128"/>
      <c r="AE124" s="128"/>
      <c r="AF124" s="128"/>
      <c r="AG124" s="128"/>
      <c r="AH124" s="128"/>
      <c r="AI124" s="128"/>
      <c r="AJ124" s="128"/>
      <c r="AK124" s="128"/>
      <c r="AL124" s="128"/>
      <c r="AM124" s="128"/>
      <c r="AN124" s="124"/>
      <c r="AR124" s="124"/>
      <c r="AS124" s="124"/>
    </row>
    <row r="125" spans="2:50">
      <c r="G125" s="306"/>
      <c r="I125" s="75"/>
      <c r="J125" s="130"/>
      <c r="K125" s="75"/>
      <c r="O125" s="7"/>
      <c r="U125" s="128"/>
      <c r="V125" s="128"/>
      <c r="W125" s="128"/>
      <c r="X125" s="128"/>
      <c r="Y125" s="128"/>
      <c r="Z125" s="128"/>
      <c r="AA125" s="128"/>
      <c r="AB125" s="128"/>
      <c r="AC125" s="128"/>
      <c r="AD125" s="128"/>
      <c r="AE125" s="128"/>
      <c r="AF125" s="128"/>
      <c r="AG125" s="128"/>
      <c r="AH125" s="128"/>
      <c r="AI125" s="128"/>
      <c r="AJ125" s="128"/>
      <c r="AK125" s="128"/>
      <c r="AL125" s="128"/>
      <c r="AM125" s="128"/>
      <c r="AN125" s="124"/>
      <c r="AR125" s="124"/>
      <c r="AS125" s="124"/>
    </row>
    <row r="126" spans="2:50">
      <c r="F126" s="1" t="s">
        <v>157</v>
      </c>
      <c r="G126" s="307"/>
      <c r="I126" s="75"/>
      <c r="J126" s="130"/>
      <c r="K126" s="75"/>
      <c r="U126" s="128"/>
      <c r="V126" s="128"/>
      <c r="W126" s="128"/>
      <c r="X126" s="128"/>
      <c r="Y126" s="128"/>
      <c r="Z126" s="128"/>
      <c r="AA126" s="128"/>
      <c r="AB126" s="128"/>
      <c r="AC126" s="128"/>
      <c r="AD126" s="128"/>
      <c r="AE126" s="128"/>
      <c r="AF126" s="128"/>
      <c r="AG126" s="128"/>
      <c r="AH126" s="128"/>
      <c r="AI126" s="128"/>
      <c r="AJ126" s="128"/>
      <c r="AK126" s="128"/>
      <c r="AL126" s="128"/>
      <c r="AM126" s="128"/>
      <c r="AN126" s="124"/>
      <c r="AR126" s="124"/>
      <c r="AS126" s="124"/>
      <c r="AT126">
        <f>698/43.4*100</f>
        <v>1608.2949308755763</v>
      </c>
    </row>
    <row r="127" spans="2:50" s="30" customFormat="1">
      <c r="B127" s="7"/>
      <c r="F127" s="311" t="s">
        <v>64</v>
      </c>
      <c r="H127"/>
      <c r="I127"/>
      <c r="J127" t="s">
        <v>115</v>
      </c>
      <c r="K127"/>
      <c r="L127"/>
      <c r="M127"/>
      <c r="N127"/>
      <c r="AT127"/>
      <c r="AU127"/>
      <c r="AV127"/>
    </row>
    <row r="128" spans="2:50" s="30" customFormat="1">
      <c r="B128" s="7"/>
      <c r="F128" t="s">
        <v>912</v>
      </c>
      <c r="G128" s="221">
        <v>0.17</v>
      </c>
      <c r="H128"/>
      <c r="I128"/>
      <c r="J128" t="s">
        <v>1748</v>
      </c>
      <c r="K128"/>
      <c r="L128"/>
      <c r="M128"/>
      <c r="N128"/>
      <c r="AT128"/>
      <c r="AU128"/>
      <c r="AV128"/>
    </row>
    <row r="129" spans="2:61" s="30" customFormat="1">
      <c r="B129" s="7"/>
      <c r="F129" t="s">
        <v>943</v>
      </c>
      <c r="G129" s="221">
        <v>0.15</v>
      </c>
      <c r="H129"/>
      <c r="I129"/>
      <c r="J129" t="s">
        <v>944</v>
      </c>
      <c r="K129"/>
      <c r="L129"/>
      <c r="M129"/>
      <c r="N129"/>
      <c r="AT129"/>
      <c r="AU129"/>
      <c r="AV129"/>
    </row>
    <row r="130" spans="2:61" s="30" customFormat="1">
      <c r="F130" t="s">
        <v>66</v>
      </c>
      <c r="G130" s="221">
        <v>0.55000000000000004</v>
      </c>
      <c r="H130"/>
      <c r="I130"/>
      <c r="J130"/>
      <c r="K130"/>
      <c r="L130"/>
      <c r="M130"/>
      <c r="N130"/>
      <c r="AT130"/>
      <c r="AU130"/>
      <c r="AV130"/>
    </row>
    <row r="131" spans="2:61" s="30" customFormat="1">
      <c r="F131" t="s">
        <v>68</v>
      </c>
      <c r="G131" s="221">
        <v>1</v>
      </c>
      <c r="H131"/>
      <c r="I131"/>
      <c r="J131"/>
      <c r="K131"/>
      <c r="L131"/>
      <c r="M131"/>
      <c r="N131"/>
      <c r="AT131"/>
      <c r="AU131"/>
      <c r="AV131"/>
    </row>
    <row r="132" spans="2:61" s="30" customFormat="1">
      <c r="F132" t="s">
        <v>309</v>
      </c>
      <c r="G132" s="221">
        <v>0.1</v>
      </c>
      <c r="H132"/>
      <c r="I132"/>
      <c r="J132" t="s">
        <v>1028</v>
      </c>
      <c r="K132"/>
      <c r="L132"/>
      <c r="M132"/>
      <c r="N132"/>
      <c r="AT132"/>
      <c r="AU132"/>
      <c r="AV132"/>
    </row>
    <row r="133" spans="2:61" s="30" customFormat="1">
      <c r="F133"/>
      <c r="G133" s="221"/>
      <c r="H133"/>
      <c r="I133"/>
      <c r="J133"/>
      <c r="K133"/>
      <c r="L133"/>
      <c r="M133"/>
      <c r="N133"/>
      <c r="AT133"/>
      <c r="AU133"/>
      <c r="AV133"/>
    </row>
    <row r="137" spans="2:61">
      <c r="F137" s="11" t="s">
        <v>1418</v>
      </c>
      <c r="AW137" s="11" t="s">
        <v>1418</v>
      </c>
      <c r="AX137" s="30"/>
      <c r="BC137" s="30"/>
      <c r="BD137" s="30"/>
      <c r="BE137" s="30"/>
      <c r="BF137" s="30"/>
      <c r="BG137" s="30"/>
      <c r="BH137" s="30"/>
      <c r="BI137" s="30"/>
    </row>
    <row r="138" spans="2:61">
      <c r="F138" s="222"/>
      <c r="G138" s="20"/>
      <c r="H138" s="23"/>
      <c r="I138" s="2073" t="s">
        <v>2448</v>
      </c>
      <c r="J138" s="2074"/>
      <c r="K138" s="48" t="s">
        <v>1421</v>
      </c>
      <c r="L138" s="28"/>
      <c r="AW138" s="222"/>
      <c r="AX138" s="39" t="s">
        <v>1953</v>
      </c>
      <c r="AY138" s="48" t="s">
        <v>1956</v>
      </c>
      <c r="AZ138" s="123"/>
      <c r="BC138" s="30"/>
      <c r="BD138" s="30"/>
      <c r="BE138" s="30"/>
      <c r="BF138" s="30"/>
      <c r="BG138" s="30"/>
      <c r="BH138" s="30"/>
      <c r="BI138" s="30"/>
    </row>
    <row r="139" spans="2:61">
      <c r="B139" s="7"/>
      <c r="F139" s="517" t="s">
        <v>870</v>
      </c>
      <c r="G139" s="20"/>
      <c r="H139" s="28"/>
      <c r="I139" s="514">
        <f>+I46+I96+I110</f>
        <v>13724.806821640001</v>
      </c>
      <c r="J139" s="209">
        <f>+I139/I142</f>
        <v>0.48466110782218702</v>
      </c>
      <c r="K139" s="50" t="s">
        <v>1417</v>
      </c>
      <c r="L139" s="63"/>
      <c r="M139" s="50"/>
      <c r="N139" s="63"/>
      <c r="O139" s="27"/>
      <c r="P139" s="27"/>
      <c r="Q139" s="27"/>
      <c r="R139" s="27"/>
      <c r="S139" s="27"/>
      <c r="T139" s="27"/>
      <c r="U139" s="49"/>
      <c r="AW139" s="460" t="s">
        <v>870</v>
      </c>
      <c r="AX139" s="46" t="s">
        <v>1417</v>
      </c>
      <c r="AY139" s="50"/>
      <c r="AZ139" s="28"/>
      <c r="BC139" s="30"/>
      <c r="BD139" s="30"/>
      <c r="BE139" s="30"/>
      <c r="BF139" s="30"/>
      <c r="BG139" s="30"/>
      <c r="BH139" s="30"/>
      <c r="BI139" s="30"/>
    </row>
    <row r="140" spans="2:61">
      <c r="F140" s="515" t="s">
        <v>871</v>
      </c>
      <c r="G140" s="27"/>
      <c r="H140" s="28"/>
      <c r="I140" s="514">
        <f>+I72</f>
        <v>9873.1268156700025</v>
      </c>
      <c r="J140" s="209">
        <f>+I140/I142</f>
        <v>0.34864757240931299</v>
      </c>
      <c r="K140" s="50" t="s">
        <v>1419</v>
      </c>
      <c r="L140" s="63"/>
      <c r="M140" s="515" t="s">
        <v>1861</v>
      </c>
      <c r="N140" s="63"/>
      <c r="O140" s="27"/>
      <c r="P140" s="27"/>
      <c r="Q140" s="27"/>
      <c r="R140" s="27"/>
      <c r="S140" s="27"/>
      <c r="T140" s="27"/>
      <c r="U140" s="49"/>
      <c r="AW140" s="460" t="s">
        <v>871</v>
      </c>
      <c r="AX140" s="46" t="s">
        <v>1419</v>
      </c>
      <c r="AY140" s="515" t="s">
        <v>1954</v>
      </c>
      <c r="AZ140" s="28"/>
      <c r="BC140" s="30"/>
      <c r="BD140" s="30"/>
      <c r="BE140" s="30"/>
      <c r="BF140" s="30"/>
      <c r="BG140" s="30"/>
      <c r="BH140" s="30"/>
      <c r="BI140" s="30"/>
    </row>
    <row r="141" spans="2:61">
      <c r="F141" s="515" t="s">
        <v>872</v>
      </c>
      <c r="G141" s="27"/>
      <c r="H141" s="28"/>
      <c r="I141" s="514">
        <f>+I87</f>
        <v>4720.4244899019996</v>
      </c>
      <c r="J141" s="209">
        <f>+I141/I142</f>
        <v>0.16669131976850013</v>
      </c>
      <c r="K141" s="50" t="s">
        <v>1420</v>
      </c>
      <c r="L141" s="63"/>
      <c r="M141" s="515" t="s">
        <v>1416</v>
      </c>
      <c r="N141" s="63"/>
      <c r="O141" s="27"/>
      <c r="P141" s="27"/>
      <c r="Q141" s="27"/>
      <c r="R141" s="27"/>
      <c r="S141" s="27"/>
      <c r="T141" s="27"/>
      <c r="U141" s="49"/>
      <c r="AW141" s="460" t="s">
        <v>872</v>
      </c>
      <c r="AX141" s="46" t="s">
        <v>1420</v>
      </c>
      <c r="AY141" s="515" t="s">
        <v>1955</v>
      </c>
      <c r="AZ141" s="28"/>
      <c r="BC141" s="30"/>
      <c r="BD141" s="30"/>
      <c r="BE141" s="30"/>
      <c r="BF141" s="30"/>
      <c r="BG141" s="30"/>
      <c r="BH141" s="30"/>
      <c r="BI141" s="30"/>
    </row>
    <row r="142" spans="2:61">
      <c r="F142" s="796" t="s">
        <v>1242</v>
      </c>
      <c r="G142" s="776"/>
      <c r="H142" s="797"/>
      <c r="I142" s="798">
        <f>SUM(I139:I141)</f>
        <v>28318.358127211999</v>
      </c>
      <c r="J142" s="975">
        <f>SUM(J139:J141)</f>
        <v>1</v>
      </c>
    </row>
    <row r="145" spans="6:13">
      <c r="F145" s="11" t="s">
        <v>2375</v>
      </c>
      <c r="M145" s="40" t="s">
        <v>1107</v>
      </c>
    </row>
    <row r="146" spans="6:13">
      <c r="F146" s="222" t="s">
        <v>869</v>
      </c>
      <c r="G146" s="20"/>
      <c r="H146" s="23"/>
      <c r="I146" s="1016" t="s">
        <v>2449</v>
      </c>
      <c r="J146" s="1017" t="s">
        <v>2373</v>
      </c>
      <c r="K146" s="2071" t="s">
        <v>967</v>
      </c>
      <c r="L146" s="2072"/>
      <c r="M146" s="41" t="s">
        <v>1505</v>
      </c>
    </row>
    <row r="147" spans="6:13">
      <c r="F147" s="517" t="s">
        <v>870</v>
      </c>
      <c r="G147" s="20"/>
      <c r="H147" s="28"/>
      <c r="I147" s="514">
        <f>+I46+I96+I110</f>
        <v>13724.806821640001</v>
      </c>
      <c r="J147" s="514">
        <f>+J46+J96+J110</f>
        <v>13599.900103089998</v>
      </c>
      <c r="K147" s="514">
        <f>+K46+K96+K110</f>
        <v>124.90671855000119</v>
      </c>
      <c r="L147" s="869">
        <f>K147/J147</f>
        <v>9.1843850030649456E-3</v>
      </c>
      <c r="M147" s="1722">
        <f>+K147/U2</f>
        <v>5.6011981412556588</v>
      </c>
    </row>
    <row r="148" spans="6:13">
      <c r="F148" s="515" t="s">
        <v>871</v>
      </c>
      <c r="G148" s="27"/>
      <c r="H148" s="28"/>
      <c r="I148" s="514">
        <f>+I72</f>
        <v>9873.1268156700025</v>
      </c>
      <c r="J148" s="514">
        <f>+J72</f>
        <v>9046.2379721199995</v>
      </c>
      <c r="K148" s="514">
        <f>+K72</f>
        <v>826.888843550003</v>
      </c>
      <c r="L148" s="869">
        <f t="shared" ref="L148:L149" si="74">K148/J148</f>
        <v>9.1406930272940889E-2</v>
      </c>
      <c r="M148" s="795">
        <f>+K148/U2</f>
        <v>37.080217199551704</v>
      </c>
    </row>
    <row r="149" spans="6:13">
      <c r="F149" s="515" t="s">
        <v>872</v>
      </c>
      <c r="G149" s="27"/>
      <c r="H149" s="28"/>
      <c r="I149" s="514">
        <f>+I87</f>
        <v>4720.4244899019996</v>
      </c>
      <c r="J149" s="514">
        <f>+J87</f>
        <v>4663.6468434200006</v>
      </c>
      <c r="K149" s="514">
        <f>+K87</f>
        <v>56.777646481999</v>
      </c>
      <c r="L149" s="869">
        <f t="shared" si="74"/>
        <v>1.2174516722274396E-2</v>
      </c>
      <c r="M149" s="795">
        <f>+K149/U2</f>
        <v>2.546082801883363</v>
      </c>
    </row>
    <row r="150" spans="6:13">
      <c r="F150" s="796" t="s">
        <v>1242</v>
      </c>
      <c r="G150" s="776"/>
      <c r="H150" s="797"/>
      <c r="I150" s="798">
        <f>SUM(I147:I149)</f>
        <v>28318.358127211999</v>
      </c>
      <c r="J150" s="798">
        <f>SUM(J147:J149)</f>
        <v>27309.784918629997</v>
      </c>
      <c r="K150" s="798">
        <f>SUM(K147:K149)</f>
        <v>1008.5732085820032</v>
      </c>
      <c r="L150" s="830">
        <f>K150/J150</f>
        <v>3.6930836752726744E-2</v>
      </c>
      <c r="M150" s="799">
        <f>+K150/U2</f>
        <v>45.227498142690727</v>
      </c>
    </row>
    <row r="153" spans="6:13">
      <c r="F153" s="11" t="s">
        <v>2232</v>
      </c>
    </row>
    <row r="154" spans="6:13">
      <c r="F154" s="1661" t="s">
        <v>2450</v>
      </c>
      <c r="G154" s="1404"/>
      <c r="H154" s="28"/>
      <c r="I154" s="300" t="s">
        <v>16</v>
      </c>
      <c r="J154" s="1721" t="s">
        <v>1241</v>
      </c>
      <c r="K154" s="18"/>
    </row>
    <row r="155" spans="6:13">
      <c r="F155" s="517" t="s">
        <v>2</v>
      </c>
      <c r="G155" s="20"/>
      <c r="H155" s="23"/>
      <c r="I155" s="326">
        <f>+K57</f>
        <v>838.29710819999946</v>
      </c>
      <c r="J155" s="1723" t="s">
        <v>1240</v>
      </c>
      <c r="K155" s="28"/>
    </row>
    <row r="156" spans="6:13">
      <c r="F156" s="517" t="s">
        <v>1599</v>
      </c>
      <c r="G156" s="20"/>
      <c r="H156" s="23"/>
      <c r="I156" s="514">
        <f>+K21</f>
        <v>148.221</v>
      </c>
      <c r="J156" s="795" t="s">
        <v>1239</v>
      </c>
      <c r="K156" s="28"/>
    </row>
    <row r="157" spans="6:13">
      <c r="F157" s="517" t="s">
        <v>1835</v>
      </c>
      <c r="G157" s="20"/>
      <c r="H157" s="23"/>
      <c r="I157" s="514">
        <f>+K11</f>
        <v>121.58571251999996</v>
      </c>
      <c r="J157" s="795" t="s">
        <v>1239</v>
      </c>
      <c r="K157" s="28"/>
    </row>
    <row r="158" spans="6:13">
      <c r="F158" s="517" t="s">
        <v>3</v>
      </c>
      <c r="G158" s="20"/>
      <c r="H158" s="23"/>
      <c r="I158" s="514">
        <f>+K76</f>
        <v>95.039999999999964</v>
      </c>
      <c r="J158" s="795" t="s">
        <v>2169</v>
      </c>
      <c r="K158" s="28"/>
    </row>
    <row r="159" spans="6:13">
      <c r="F159" s="517" t="s">
        <v>2376</v>
      </c>
      <c r="G159" s="20"/>
      <c r="H159" s="23"/>
      <c r="I159" s="514">
        <f>+K9</f>
        <v>78.504621000000043</v>
      </c>
      <c r="J159" s="795" t="s">
        <v>1239</v>
      </c>
      <c r="K159" s="28"/>
    </row>
    <row r="160" spans="6:13">
      <c r="F160" s="517" t="s">
        <v>1981</v>
      </c>
      <c r="G160" s="20"/>
      <c r="H160" s="23"/>
      <c r="I160" s="514">
        <f>+K15</f>
        <v>76.878840000000011</v>
      </c>
      <c r="J160" s="795" t="s">
        <v>1239</v>
      </c>
      <c r="K160" s="28"/>
    </row>
    <row r="161" spans="6:15">
      <c r="F161" s="517" t="s">
        <v>1843</v>
      </c>
      <c r="G161" s="20"/>
      <c r="H161" s="23"/>
      <c r="I161" s="326">
        <f>+K13</f>
        <v>51.961920000000049</v>
      </c>
      <c r="J161" s="795" t="s">
        <v>1239</v>
      </c>
      <c r="K161" s="28"/>
    </row>
    <row r="162" spans="6:15">
      <c r="F162" s="517" t="s">
        <v>213</v>
      </c>
      <c r="G162" s="20"/>
      <c r="H162" s="23"/>
      <c r="I162" s="326">
        <f>+K14</f>
        <v>45.886129200000028</v>
      </c>
      <c r="J162" s="795" t="s">
        <v>1239</v>
      </c>
      <c r="K162" s="28"/>
    </row>
    <row r="163" spans="6:15">
      <c r="F163" s="517" t="s">
        <v>1680</v>
      </c>
      <c r="G163" s="20"/>
      <c r="H163" s="23"/>
      <c r="I163" s="514">
        <f>+K94</f>
        <v>-255.46271759999991</v>
      </c>
      <c r="J163" s="795" t="s">
        <v>1239</v>
      </c>
      <c r="K163" s="28"/>
    </row>
    <row r="164" spans="6:15">
      <c r="F164" s="517" t="s">
        <v>2374</v>
      </c>
      <c r="G164" s="20"/>
      <c r="H164" s="23"/>
      <c r="I164" s="514">
        <f>+K8+K102+K103</f>
        <v>-204.05003262000002</v>
      </c>
      <c r="J164" s="795" t="s">
        <v>1239</v>
      </c>
      <c r="K164" s="28"/>
    </row>
    <row r="165" spans="6:15">
      <c r="F165" s="517" t="s">
        <v>2451</v>
      </c>
      <c r="G165" s="20"/>
      <c r="H165" s="23"/>
      <c r="I165" s="326">
        <f>+K79</f>
        <v>-62.115119567999955</v>
      </c>
      <c r="J165" s="795" t="s">
        <v>2169</v>
      </c>
      <c r="K165" s="28"/>
    </row>
    <row r="166" spans="6:15">
      <c r="F166" s="517" t="s">
        <v>2363</v>
      </c>
      <c r="G166" s="20"/>
      <c r="H166" s="23"/>
      <c r="I166" s="326">
        <f>+K60</f>
        <v>-48.557599999999979</v>
      </c>
      <c r="J166" s="1723" t="s">
        <v>1240</v>
      </c>
      <c r="K166" s="28"/>
    </row>
    <row r="167" spans="6:15">
      <c r="F167" s="796" t="s">
        <v>1646</v>
      </c>
      <c r="G167" s="776"/>
      <c r="H167" s="797"/>
      <c r="I167" s="798">
        <f>+I176</f>
        <v>1008.5732085820032</v>
      </c>
      <c r="J167" s="980"/>
    </row>
    <row r="168" spans="6:15">
      <c r="F168" s="9"/>
      <c r="I168" s="1535"/>
      <c r="J168" s="1656"/>
    </row>
    <row r="169" spans="6:15">
      <c r="F169" s="9"/>
      <c r="I169" s="1535"/>
      <c r="J169" s="1656"/>
    </row>
    <row r="170" spans="6:15">
      <c r="F170" s="11" t="s">
        <v>2067</v>
      </c>
    </row>
    <row r="171" spans="6:15">
      <c r="F171" s="9" t="s">
        <v>869</v>
      </c>
      <c r="I171" s="1819" t="s">
        <v>19</v>
      </c>
      <c r="J171" s="212" t="s">
        <v>1107</v>
      </c>
      <c r="M171" s="11"/>
      <c r="N171" s="11"/>
      <c r="O171" s="11"/>
    </row>
    <row r="172" spans="6:15">
      <c r="F172" s="1661" t="s">
        <v>2450</v>
      </c>
      <c r="G172" s="27"/>
      <c r="H172" s="28"/>
      <c r="I172" s="780" t="s">
        <v>2131</v>
      </c>
      <c r="J172" s="114" t="s">
        <v>1505</v>
      </c>
    </row>
    <row r="173" spans="6:15">
      <c r="F173" s="515" t="s">
        <v>870</v>
      </c>
      <c r="G173" s="27"/>
      <c r="H173" s="28"/>
      <c r="I173" s="1818">
        <f>+K46+K96+K110</f>
        <v>124.90671855000119</v>
      </c>
      <c r="J173" s="1722">
        <f>+I173/U2</f>
        <v>5.6011981412556588</v>
      </c>
    </row>
    <row r="174" spans="6:15">
      <c r="F174" s="515" t="s">
        <v>871</v>
      </c>
      <c r="G174" s="27"/>
      <c r="H174" s="28"/>
      <c r="I174" s="514">
        <f>+K72</f>
        <v>826.888843550003</v>
      </c>
      <c r="J174" s="795">
        <f>+I174/U2</f>
        <v>37.080217199551704</v>
      </c>
    </row>
    <row r="175" spans="6:15">
      <c r="F175" s="515" t="s">
        <v>872</v>
      </c>
      <c r="G175" s="27"/>
      <c r="H175" s="28"/>
      <c r="I175" s="514">
        <f>+K87</f>
        <v>56.777646481999</v>
      </c>
      <c r="J175" s="795">
        <f>+I175/U2</f>
        <v>2.546082801883363</v>
      </c>
    </row>
    <row r="176" spans="6:15">
      <c r="F176" s="796" t="s">
        <v>1453</v>
      </c>
      <c r="G176" s="776"/>
      <c r="H176" s="797"/>
      <c r="I176" s="798">
        <f>SUM(I173:I175)</f>
        <v>1008.5732085820032</v>
      </c>
      <c r="J176" s="799">
        <f>+I176/U2</f>
        <v>45.227498142690727</v>
      </c>
    </row>
    <row r="177" spans="5:22">
      <c r="F177" s="9"/>
      <c r="I177" s="1535"/>
      <c r="J177" s="1656"/>
    </row>
    <row r="179" spans="5:22">
      <c r="E179" s="1823"/>
      <c r="F179" s="428"/>
      <c r="G179" s="1823"/>
      <c r="H179" s="428"/>
      <c r="I179" s="428"/>
      <c r="J179" s="428"/>
      <c r="K179" s="428"/>
      <c r="L179" s="428"/>
      <c r="M179" s="428"/>
      <c r="N179" s="428"/>
      <c r="O179" s="1823"/>
      <c r="P179" s="1823"/>
      <c r="Q179" s="1823"/>
      <c r="R179" s="1823"/>
      <c r="S179" s="1823"/>
      <c r="T179" s="1823"/>
      <c r="U179" s="1823"/>
      <c r="V179" s="1823"/>
    </row>
    <row r="181" spans="5:22">
      <c r="F181" s="11" t="s">
        <v>1418</v>
      </c>
    </row>
    <row r="182" spans="5:22">
      <c r="F182" s="222"/>
      <c r="G182" s="20"/>
      <c r="H182" s="23"/>
      <c r="I182" s="2073" t="s">
        <v>2113</v>
      </c>
      <c r="J182" s="2074"/>
      <c r="K182" s="48" t="s">
        <v>1421</v>
      </c>
      <c r="L182" s="28"/>
    </row>
    <row r="183" spans="5:22">
      <c r="F183" s="517" t="s">
        <v>870</v>
      </c>
      <c r="G183" s="20"/>
      <c r="H183" s="28"/>
      <c r="I183" s="514">
        <f>+J46+J96+J110</f>
        <v>13599.900103089998</v>
      </c>
      <c r="J183" s="209">
        <f>+I183/I186</f>
        <v>0.4979863497135239</v>
      </c>
      <c r="K183" s="50" t="s">
        <v>1417</v>
      </c>
      <c r="L183" s="63"/>
      <c r="M183" s="50"/>
      <c r="N183" s="63"/>
      <c r="O183" s="27"/>
      <c r="P183" s="27"/>
      <c r="Q183" s="27"/>
      <c r="R183" s="27"/>
      <c r="S183" s="27"/>
      <c r="T183" s="27"/>
      <c r="U183" s="49"/>
    </row>
    <row r="184" spans="5:22">
      <c r="F184" s="515" t="s">
        <v>871</v>
      </c>
      <c r="G184" s="27"/>
      <c r="H184" s="28"/>
      <c r="I184" s="514">
        <f>+J72</f>
        <v>9046.2379721199995</v>
      </c>
      <c r="J184" s="631">
        <f>+I184/I186</f>
        <v>0.33124530270280161</v>
      </c>
      <c r="K184" s="50" t="s">
        <v>1419</v>
      </c>
      <c r="L184" s="63"/>
      <c r="M184" s="515" t="s">
        <v>1954</v>
      </c>
      <c r="N184" s="63"/>
      <c r="O184" s="27"/>
      <c r="P184" s="27"/>
      <c r="Q184" s="27"/>
      <c r="R184" s="27"/>
      <c r="S184" s="27"/>
      <c r="T184" s="27"/>
      <c r="U184" s="49"/>
    </row>
    <row r="185" spans="5:22">
      <c r="F185" s="1799" t="s">
        <v>872</v>
      </c>
      <c r="G185" s="776"/>
      <c r="H185" s="797"/>
      <c r="I185" s="1411">
        <f>+J87</f>
        <v>4663.6468434200006</v>
      </c>
      <c r="J185" s="732">
        <f>+I185/I186</f>
        <v>0.17076834758367454</v>
      </c>
      <c r="K185" s="914" t="s">
        <v>1420</v>
      </c>
      <c r="L185" s="775"/>
      <c r="M185" s="1799" t="s">
        <v>1955</v>
      </c>
      <c r="N185" s="775"/>
      <c r="O185" s="776"/>
      <c r="P185" s="776"/>
      <c r="Q185" s="776"/>
      <c r="R185" s="776"/>
      <c r="S185" s="776"/>
      <c r="T185" s="776"/>
      <c r="U185" s="1800"/>
    </row>
    <row r="186" spans="5:22">
      <c r="F186" s="516" t="s">
        <v>1242</v>
      </c>
      <c r="G186" s="27"/>
      <c r="H186" s="28"/>
      <c r="I186" s="1798">
        <f>SUM(I183:I185)</f>
        <v>27309.784918629997</v>
      </c>
      <c r="J186" s="1463">
        <f>SUM(J183:J185)</f>
        <v>1</v>
      </c>
    </row>
    <row r="191" spans="5:22">
      <c r="F191" s="11" t="s">
        <v>1950</v>
      </c>
    </row>
    <row r="192" spans="5:22">
      <c r="F192" s="814" t="s">
        <v>1991</v>
      </c>
      <c r="I192" s="39" t="s">
        <v>1429</v>
      </c>
      <c r="J192" s="39"/>
    </row>
    <row r="193" spans="6:10">
      <c r="I193" s="39" t="s">
        <v>1458</v>
      </c>
      <c r="J193" s="39" t="s">
        <v>39</v>
      </c>
    </row>
    <row r="194" spans="6:10">
      <c r="F194" s="50" t="s">
        <v>2</v>
      </c>
      <c r="G194" s="27"/>
      <c r="H194" s="63"/>
      <c r="I194" s="1650">
        <f>+I57/1000</f>
        <v>5.4413458429199997</v>
      </c>
      <c r="J194" s="209">
        <f>+I194/$I$199</f>
        <v>0.1921490581648955</v>
      </c>
    </row>
    <row r="195" spans="6:10">
      <c r="F195" s="1663" t="s">
        <v>1680</v>
      </c>
      <c r="G195" s="1664"/>
      <c r="H195" s="440"/>
      <c r="I195" s="1665">
        <f>+I94/1000</f>
        <v>2.7406614924000001</v>
      </c>
      <c r="J195" s="732">
        <f>+I195/$I$199</f>
        <v>9.6780381125500789E-2</v>
      </c>
    </row>
    <row r="196" spans="6:10">
      <c r="F196" s="50" t="s">
        <v>1879</v>
      </c>
      <c r="G196" s="27"/>
      <c r="H196" s="63"/>
      <c r="I196" s="1650">
        <f>+I58/1000</f>
        <v>1.8389340000000003</v>
      </c>
      <c r="J196" s="209">
        <f>+I196/$I$199</f>
        <v>6.4937874990461081E-2</v>
      </c>
    </row>
    <row r="197" spans="6:10">
      <c r="F197" s="1666" t="s">
        <v>1951</v>
      </c>
      <c r="G197" s="1667"/>
      <c r="H197" s="1668"/>
      <c r="I197" s="1651">
        <f>SUM(I194:I196)</f>
        <v>10.02094133532</v>
      </c>
      <c r="J197" s="1318">
        <f>+I197/$I$199</f>
        <v>0.35386731428085733</v>
      </c>
    </row>
    <row r="198" spans="6:10">
      <c r="I198" s="1662"/>
    </row>
    <row r="199" spans="6:10">
      <c r="F199" s="1348" t="s">
        <v>1952</v>
      </c>
      <c r="G199" s="1191"/>
      <c r="H199" s="1349"/>
      <c r="I199" s="1669">
        <f>+I112/1000</f>
        <v>28.318358127212001</v>
      </c>
    </row>
  </sheetData>
  <mergeCells count="15">
    <mergeCell ref="U51:V51"/>
    <mergeCell ref="U4:V4"/>
    <mergeCell ref="I182:J182"/>
    <mergeCell ref="C5:D5"/>
    <mergeCell ref="K5:L5"/>
    <mergeCell ref="C52:D52"/>
    <mergeCell ref="K52:L52"/>
    <mergeCell ref="I138:J138"/>
    <mergeCell ref="I51:K51"/>
    <mergeCell ref="I4:K4"/>
    <mergeCell ref="O51:Q51"/>
    <mergeCell ref="I115:K115"/>
    <mergeCell ref="K116:L116"/>
    <mergeCell ref="O4:Q4"/>
    <mergeCell ref="K146:L146"/>
  </mergeCells>
  <phoneticPr fontId="16" type="noConversion"/>
  <hyperlinks>
    <hyperlink ref="AW61" r:id="rId1" xr:uid="{46834A98-6B00-A84C-8707-1233691A0FD6}"/>
  </hyperlinks>
  <printOptions horizontalCentered="1" gridLines="1"/>
  <pageMargins left="0.2" right="0.2" top="0.2" bottom="0.2" header="0.5" footer="0.5"/>
  <pageSetup scale="80" fitToHeight="0" orientation="landscape" horizontalDpi="4294967292" verticalDpi="4294967292"/>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2A079-0836-6A49-906E-62B647F12495}">
  <sheetPr>
    <pageSetUpPr fitToPage="1"/>
  </sheetPr>
  <dimension ref="A4:AC274"/>
  <sheetViews>
    <sheetView topLeftCell="A79" zoomScaleNormal="100" workbookViewId="0">
      <selection activeCell="C65" sqref="C65"/>
    </sheetView>
  </sheetViews>
  <sheetFormatPr baseColWidth="10" defaultRowHeight="16"/>
  <cols>
    <col min="1" max="1" width="5" customWidth="1"/>
    <col min="2" max="2" width="2.83203125" style="30" customWidth="1"/>
    <col min="3" max="3" width="33.6640625" customWidth="1"/>
    <col min="4" max="5" width="7.1640625" hidden="1" customWidth="1"/>
    <col min="6" max="17" width="7.1640625" customWidth="1"/>
    <col min="18" max="23" width="9.1640625" customWidth="1"/>
    <col min="24" max="25" width="9.5" customWidth="1"/>
    <col min="26" max="27" width="7.83203125" customWidth="1"/>
    <col min="28" max="29" width="8.5" customWidth="1"/>
  </cols>
  <sheetData>
    <row r="4" spans="2:25">
      <c r="C4" s="11" t="s">
        <v>2140</v>
      </c>
      <c r="I4" s="2139" t="s">
        <v>2138</v>
      </c>
      <c r="J4" s="2139"/>
      <c r="K4" s="615"/>
      <c r="M4" s="615"/>
    </row>
    <row r="5" spans="2:25">
      <c r="C5" s="814" t="s">
        <v>2218</v>
      </c>
      <c r="D5" s="40">
        <v>2016</v>
      </c>
      <c r="E5" s="40">
        <v>2017</v>
      </c>
      <c r="F5" s="40">
        <v>2018</v>
      </c>
      <c r="G5" s="40">
        <v>2019</v>
      </c>
      <c r="H5" s="40">
        <v>2020</v>
      </c>
      <c r="I5" s="829" t="s">
        <v>1311</v>
      </c>
      <c r="J5" s="829" t="s">
        <v>1549</v>
      </c>
      <c r="P5" s="11" t="s">
        <v>2278</v>
      </c>
      <c r="W5" s="1090" t="s">
        <v>2274</v>
      </c>
    </row>
    <row r="6" spans="2:25">
      <c r="B6" s="45">
        <v>1</v>
      </c>
      <c r="C6" s="46" t="s">
        <v>1937</v>
      </c>
      <c r="D6" s="318">
        <v>555.20000000000005</v>
      </c>
      <c r="E6" s="318">
        <v>559</v>
      </c>
      <c r="F6" s="318">
        <v>783.5</v>
      </c>
      <c r="G6" s="318">
        <v>880.2</v>
      </c>
      <c r="H6" s="318">
        <v>769.2</v>
      </c>
      <c r="I6" s="719">
        <f>(+E6+F6+G6+H6)/4</f>
        <v>747.97499999999991</v>
      </c>
      <c r="J6" s="732">
        <f>+I6/$I$11</f>
        <v>0.39140502354788065</v>
      </c>
      <c r="R6" s="39">
        <v>2021</v>
      </c>
      <c r="S6" s="39">
        <v>2022</v>
      </c>
      <c r="T6" s="39">
        <v>2023</v>
      </c>
      <c r="U6" s="39">
        <v>2024</v>
      </c>
      <c r="V6" s="305" t="s">
        <v>1061</v>
      </c>
      <c r="W6" s="1091" t="s">
        <v>917</v>
      </c>
    </row>
    <row r="7" spans="2:25">
      <c r="B7" s="45">
        <v>2</v>
      </c>
      <c r="C7" s="46" t="s">
        <v>841</v>
      </c>
      <c r="D7" s="318">
        <v>24.2</v>
      </c>
      <c r="E7" s="318">
        <v>200.5</v>
      </c>
      <c r="F7" s="318">
        <v>221.1</v>
      </c>
      <c r="G7" s="318">
        <v>169.6</v>
      </c>
      <c r="H7" s="318">
        <v>-112.8</v>
      </c>
      <c r="I7" s="719">
        <f t="shared" ref="I7:I10" si="0">(+E7+F7+G7+H7)/4</f>
        <v>119.60000000000001</v>
      </c>
      <c r="J7" s="732">
        <f>+I7/$I$11</f>
        <v>6.2585034013605448E-2</v>
      </c>
      <c r="P7" s="116" t="s">
        <v>2272</v>
      </c>
      <c r="Q7" s="28"/>
      <c r="R7" s="1021">
        <v>53</v>
      </c>
      <c r="S7" s="1021">
        <v>55.5</v>
      </c>
      <c r="T7" s="1021">
        <v>64.760000000000005</v>
      </c>
      <c r="U7" s="1021">
        <v>69</v>
      </c>
      <c r="V7" s="1021">
        <v>75</v>
      </c>
      <c r="W7" s="1609"/>
      <c r="X7" s="340"/>
      <c r="Y7" s="152"/>
    </row>
    <row r="8" spans="2:25">
      <c r="B8" s="45">
        <v>3</v>
      </c>
      <c r="C8" s="46" t="s">
        <v>1579</v>
      </c>
      <c r="D8" s="318">
        <v>103.2</v>
      </c>
      <c r="E8" s="318">
        <v>261.60000000000002</v>
      </c>
      <c r="F8" s="318">
        <v>263.7</v>
      </c>
      <c r="G8" s="318">
        <v>103.9</v>
      </c>
      <c r="H8" s="318">
        <v>-139.30000000000001</v>
      </c>
      <c r="I8" s="719">
        <f t="shared" si="0"/>
        <v>122.47499999999998</v>
      </c>
      <c r="J8" s="732">
        <f>+I8/$I$11</f>
        <v>6.4089481946624796E-2</v>
      </c>
      <c r="P8" s="116" t="s">
        <v>2273</v>
      </c>
      <c r="Q8" s="1129" t="s">
        <v>2275</v>
      </c>
      <c r="R8" s="1949">
        <v>5831</v>
      </c>
      <c r="S8" s="1949">
        <v>1417.3</v>
      </c>
      <c r="T8" s="1949">
        <v>6228.1</v>
      </c>
      <c r="U8" s="1949">
        <v>5222</v>
      </c>
      <c r="V8" s="1949">
        <v>7560</v>
      </c>
      <c r="W8" s="1597"/>
      <c r="X8" s="53"/>
      <c r="Y8" s="152"/>
    </row>
    <row r="9" spans="2:25">
      <c r="B9" s="45">
        <v>4</v>
      </c>
      <c r="C9" s="46" t="s">
        <v>1580</v>
      </c>
      <c r="D9" s="318">
        <f>+D54</f>
        <v>0</v>
      </c>
      <c r="E9" s="318">
        <v>2457.1</v>
      </c>
      <c r="F9" s="318">
        <v>193.9</v>
      </c>
      <c r="G9" s="318">
        <v>1692</v>
      </c>
      <c r="H9" s="318">
        <v>430.20000000000005</v>
      </c>
      <c r="I9" s="719">
        <f t="shared" si="0"/>
        <v>1193.3</v>
      </c>
      <c r="J9" s="732">
        <f>+I9/$I$11</f>
        <v>0.62443746729461014</v>
      </c>
      <c r="P9" s="143"/>
      <c r="Q9" s="1129" t="s">
        <v>2276</v>
      </c>
      <c r="R9" s="902">
        <v>0.12122661122661123</v>
      </c>
      <c r="S9" s="902">
        <v>2.6125345622119815E-2</v>
      </c>
      <c r="T9" s="902">
        <v>0.10357724929319807</v>
      </c>
      <c r="U9" s="902">
        <v>7.8080143540669861E-2</v>
      </c>
      <c r="V9" s="902">
        <v>0.105</v>
      </c>
      <c r="W9" s="1961">
        <v>8.6999999999999994E-2</v>
      </c>
      <c r="X9" s="756"/>
      <c r="Y9" s="152"/>
    </row>
    <row r="10" spans="2:25">
      <c r="B10" s="45">
        <v>5</v>
      </c>
      <c r="C10" s="46" t="s">
        <v>1718</v>
      </c>
      <c r="D10" s="318">
        <f>+D336</f>
        <v>0</v>
      </c>
      <c r="E10" s="318">
        <v>733.60000000000036</v>
      </c>
      <c r="F10" s="318">
        <v>-1260</v>
      </c>
      <c r="G10" s="318">
        <v>116.79999999999973</v>
      </c>
      <c r="H10" s="318">
        <v>-679.79999999999973</v>
      </c>
      <c r="I10" s="719">
        <f t="shared" si="0"/>
        <v>-272.34999999999991</v>
      </c>
      <c r="J10" s="732">
        <f>+I10/$I$11</f>
        <v>-0.14251700680272103</v>
      </c>
      <c r="R10" s="53"/>
      <c r="S10" s="53"/>
      <c r="T10" s="53"/>
      <c r="U10" s="53"/>
      <c r="V10" s="53"/>
      <c r="X10" s="53"/>
      <c r="Y10" s="152"/>
    </row>
    <row r="11" spans="2:25">
      <c r="C11" s="143" t="s">
        <v>1719</v>
      </c>
      <c r="D11" s="1455">
        <f t="shared" ref="D11" si="1">SUM(D6:D10)</f>
        <v>682.60000000000014</v>
      </c>
      <c r="E11" s="1455">
        <f>SUM(E6:E10)</f>
        <v>4211.8</v>
      </c>
      <c r="F11" s="1455">
        <f t="shared" ref="F11:H11" si="2">SUM(F6:F10)</f>
        <v>202.20000000000005</v>
      </c>
      <c r="G11" s="1455">
        <f t="shared" si="2"/>
        <v>2962.4999999999995</v>
      </c>
      <c r="H11" s="1455">
        <f t="shared" si="2"/>
        <v>267.50000000000045</v>
      </c>
      <c r="I11" s="1899">
        <f>SUM(I6:I10)</f>
        <v>1911</v>
      </c>
      <c r="P11" s="282" t="s">
        <v>2279</v>
      </c>
    </row>
    <row r="12" spans="2:25">
      <c r="P12" t="s">
        <v>2277</v>
      </c>
      <c r="X12" s="1299"/>
      <c r="Y12" s="152"/>
    </row>
    <row r="13" spans="2:25">
      <c r="C13" s="47" t="s">
        <v>1720</v>
      </c>
      <c r="D13" s="871">
        <v>28.4</v>
      </c>
      <c r="E13" s="871">
        <v>39.299999999999997</v>
      </c>
      <c r="F13" s="871">
        <v>38.799999999999997</v>
      </c>
      <c r="G13" s="871">
        <v>39</v>
      </c>
      <c r="H13" s="871">
        <v>43.2</v>
      </c>
      <c r="I13" s="875">
        <f>(+E19+F19+G19+H19)/4</f>
        <v>38.224999999999994</v>
      </c>
    </row>
    <row r="14" spans="2:25">
      <c r="C14" s="880" t="s">
        <v>1581</v>
      </c>
      <c r="D14" s="1898">
        <f>+D11/(D13*1000)</f>
        <v>2.403521126760564E-2</v>
      </c>
      <c r="E14" s="1898">
        <f>+E11/(E19*1000)</f>
        <v>0.1244254062038405</v>
      </c>
      <c r="F14" s="1898">
        <f>+F11/(F19*1000)</f>
        <v>5.1779769526248409E-3</v>
      </c>
      <c r="G14" s="1898">
        <f>+G11/(G19*1000)</f>
        <v>7.6156812339331609E-2</v>
      </c>
      <c r="H14" s="1898">
        <f>+H11/(H19*1000)</f>
        <v>6.5085158150851689E-3</v>
      </c>
      <c r="I14" s="830">
        <f>+I11/(I13*1000)</f>
        <v>4.9993459777632449E-2</v>
      </c>
    </row>
    <row r="15" spans="2:25">
      <c r="C15" s="133"/>
      <c r="D15" s="1825"/>
      <c r="E15" s="1825"/>
      <c r="F15" s="1825"/>
      <c r="G15" s="1825"/>
      <c r="H15" s="1825"/>
      <c r="O15" t="s">
        <v>2271</v>
      </c>
      <c r="R15" s="1299">
        <v>23.865600000000001</v>
      </c>
      <c r="S15" s="1299">
        <v>23.325305</v>
      </c>
      <c r="T15" s="1299">
        <v>23.003247999999999</v>
      </c>
      <c r="U15" s="1299">
        <v>21.668465999999999</v>
      </c>
      <c r="V15" s="1299">
        <v>21</v>
      </c>
    </row>
    <row r="16" spans="2:25">
      <c r="C16" s="46" t="s">
        <v>1755</v>
      </c>
      <c r="D16" s="318">
        <f>+D13/D20*1000</f>
        <v>1195.7894736842104</v>
      </c>
      <c r="E16" s="318">
        <f>+E13/E20*1000</f>
        <v>1371.7277486910996</v>
      </c>
      <c r="F16" s="318">
        <f>+F13/F20*1000</f>
        <v>1362.8380751668424</v>
      </c>
      <c r="G16" s="318">
        <f>+G13/G20*1000</f>
        <v>1381.9985825655563</v>
      </c>
      <c r="H16" s="318">
        <f>+H13/H20*1000</f>
        <v>1550.05382131324</v>
      </c>
    </row>
    <row r="17" spans="2:10">
      <c r="C17" s="46" t="s">
        <v>1756</v>
      </c>
      <c r="D17" s="318"/>
      <c r="E17" s="785">
        <f>(+E16-D16)/D16</f>
        <v>0.14713147997935275</v>
      </c>
      <c r="F17" s="785">
        <f t="shared" ref="F17" si="3">(+F16-E16)/E16</f>
        <v>-6.4806398592867406E-3</v>
      </c>
      <c r="G17" s="785">
        <f t="shared" ref="G17" si="4">(+G16-F16)/F16</f>
        <v>1.4059269217561454E-2</v>
      </c>
      <c r="H17" s="785">
        <f t="shared" ref="H17" si="5">(+H16-G16)/G16</f>
        <v>0.12160304711434959</v>
      </c>
    </row>
    <row r="19" spans="2:10">
      <c r="C19" s="47" t="s">
        <v>1721</v>
      </c>
      <c r="D19" s="39"/>
      <c r="E19" s="871">
        <f>(+D13+E13)/2</f>
        <v>33.849999999999994</v>
      </c>
      <c r="F19" s="871">
        <f>(+E13+F13)/2</f>
        <v>39.049999999999997</v>
      </c>
      <c r="G19" s="871">
        <f>(+F13+G13)/2</f>
        <v>38.9</v>
      </c>
      <c r="H19" s="871">
        <f>(+G13+H13)/2</f>
        <v>41.1</v>
      </c>
    </row>
    <row r="20" spans="2:10">
      <c r="C20" s="50" t="s">
        <v>2117</v>
      </c>
      <c r="D20" s="45">
        <v>23.75</v>
      </c>
      <c r="E20" s="45">
        <v>28.65</v>
      </c>
      <c r="F20" s="45">
        <v>28.47</v>
      </c>
      <c r="G20" s="45">
        <v>28.22</v>
      </c>
      <c r="H20" s="45">
        <v>27.87</v>
      </c>
    </row>
    <row r="24" spans="2:10">
      <c r="C24" s="11" t="s">
        <v>2140</v>
      </c>
      <c r="I24" s="2140" t="s">
        <v>2139</v>
      </c>
      <c r="J24" s="2141"/>
    </row>
    <row r="25" spans="2:10">
      <c r="C25" s="814" t="s">
        <v>2218</v>
      </c>
      <c r="E25" s="40">
        <v>2021</v>
      </c>
      <c r="F25" s="40">
        <v>2022</v>
      </c>
      <c r="G25" s="380">
        <v>2023</v>
      </c>
      <c r="H25" s="488">
        <v>2024</v>
      </c>
      <c r="I25" s="992" t="s">
        <v>1311</v>
      </c>
      <c r="J25" s="992" t="s">
        <v>1549</v>
      </c>
    </row>
    <row r="26" spans="2:10">
      <c r="B26" s="45">
        <v>1</v>
      </c>
      <c r="C26" s="46" t="s">
        <v>1937</v>
      </c>
      <c r="E26" s="318">
        <v>641</v>
      </c>
      <c r="F26" s="318">
        <v>961.8</v>
      </c>
      <c r="G26" s="1229">
        <v>1896</v>
      </c>
      <c r="H26" s="1229">
        <v>2512</v>
      </c>
      <c r="I26" s="405">
        <f>(+E26+F26+G26+H26)/4</f>
        <v>1502.7</v>
      </c>
      <c r="J26" s="1166">
        <f>+I26/$I$31</f>
        <v>0.32146065973559235</v>
      </c>
    </row>
    <row r="27" spans="2:10">
      <c r="B27" s="45">
        <v>2</v>
      </c>
      <c r="C27" s="46" t="s">
        <v>841</v>
      </c>
      <c r="E27" s="318">
        <v>402</v>
      </c>
      <c r="F27" s="318">
        <v>1014.7</v>
      </c>
      <c r="G27" s="1229">
        <v>1022</v>
      </c>
      <c r="H27" s="1229">
        <v>956</v>
      </c>
      <c r="I27" s="405">
        <f t="shared" ref="I27:I30" si="6">(+E27+F27+G27+H27)/4</f>
        <v>848.67499999999995</v>
      </c>
      <c r="J27" s="1166">
        <f>+I27/$I$31</f>
        <v>0.18155029307320411</v>
      </c>
    </row>
    <row r="28" spans="2:10">
      <c r="B28" s="45">
        <v>3</v>
      </c>
      <c r="C28" s="46" t="s">
        <v>1579</v>
      </c>
      <c r="E28" s="318">
        <v>71</v>
      </c>
      <c r="F28" s="318">
        <v>61</v>
      </c>
      <c r="G28" s="1229">
        <v>46</v>
      </c>
      <c r="H28" s="1229">
        <v>212</v>
      </c>
      <c r="I28" s="405">
        <f t="shared" si="6"/>
        <v>97.5</v>
      </c>
      <c r="J28" s="1166">
        <f>+I28/$I$31</f>
        <v>2.0857399563599024E-2</v>
      </c>
    </row>
    <row r="29" spans="2:10">
      <c r="B29" s="45">
        <v>4</v>
      </c>
      <c r="C29" s="46" t="s">
        <v>1580</v>
      </c>
      <c r="E29" s="318">
        <v>3709</v>
      </c>
      <c r="F29" s="318">
        <v>-514.20000000000005</v>
      </c>
      <c r="G29" s="318">
        <v>2499.1</v>
      </c>
      <c r="H29" s="1229">
        <v>1067</v>
      </c>
      <c r="I29" s="405">
        <f t="shared" si="6"/>
        <v>1690.2249999999999</v>
      </c>
      <c r="J29" s="1166">
        <f>+I29/$I$31</f>
        <v>0.36157639156291443</v>
      </c>
    </row>
    <row r="30" spans="2:10">
      <c r="B30" s="45">
        <v>5</v>
      </c>
      <c r="C30" s="46" t="s">
        <v>1718</v>
      </c>
      <c r="E30" s="318">
        <v>1008</v>
      </c>
      <c r="F30" s="318">
        <v>-106</v>
      </c>
      <c r="G30" s="318">
        <v>765</v>
      </c>
      <c r="H30" s="1229">
        <v>475</v>
      </c>
      <c r="I30" s="405">
        <f t="shared" si="6"/>
        <v>535.5</v>
      </c>
      <c r="J30" s="1166">
        <f>+I30/$I$31</f>
        <v>0.11455525606469001</v>
      </c>
    </row>
    <row r="31" spans="2:10">
      <c r="C31" s="143" t="s">
        <v>1719</v>
      </c>
      <c r="E31" s="1455">
        <f>SUM(E26:E30)</f>
        <v>5831</v>
      </c>
      <c r="F31" s="1455">
        <f t="shared" ref="F31:I31" si="7">SUM(F26:F30)</f>
        <v>1417.3</v>
      </c>
      <c r="G31" s="1455">
        <f t="shared" si="7"/>
        <v>6228.1</v>
      </c>
      <c r="H31" s="1455">
        <f t="shared" si="7"/>
        <v>5222</v>
      </c>
      <c r="I31" s="1900">
        <f t="shared" si="7"/>
        <v>4674.6000000000004</v>
      </c>
    </row>
    <row r="33" spans="2:14">
      <c r="C33" s="47" t="s">
        <v>1720</v>
      </c>
      <c r="E33" s="871">
        <v>53</v>
      </c>
      <c r="F33" s="871">
        <v>55.5</v>
      </c>
      <c r="G33" s="871">
        <v>64.760000000000005</v>
      </c>
      <c r="H33" s="871">
        <v>69</v>
      </c>
      <c r="I33" s="1373">
        <f>(+E39+F39+G39+H39)/4</f>
        <v>57.339999999999996</v>
      </c>
    </row>
    <row r="34" spans="2:14">
      <c r="C34" s="880" t="s">
        <v>1581</v>
      </c>
      <c r="E34" s="1898">
        <f>+E31/(E39*1000)</f>
        <v>0.12122661122661123</v>
      </c>
      <c r="F34" s="1898">
        <f>+F31/(F39*1000)</f>
        <v>2.6125345622119815E-2</v>
      </c>
      <c r="G34" s="1898">
        <f>+G31/(G39*1000)</f>
        <v>0.10357724929319807</v>
      </c>
      <c r="H34" s="1898">
        <f>+H31/(H39*1000)</f>
        <v>7.8080143540669861E-2</v>
      </c>
      <c r="I34" s="1374">
        <f>+I31/(I33*1000)</f>
        <v>8.1524241367282896E-2</v>
      </c>
    </row>
    <row r="35" spans="2:14">
      <c r="C35" s="133"/>
      <c r="E35" s="1825"/>
      <c r="F35" s="1825"/>
      <c r="G35" s="1825"/>
      <c r="H35" s="1826"/>
    </row>
    <row r="36" spans="2:14">
      <c r="C36" s="46" t="s">
        <v>1755</v>
      </c>
      <c r="E36" s="318">
        <f>+E33/E40*1000</f>
        <v>2059.8523124757089</v>
      </c>
      <c r="F36" s="318">
        <f>+F33/F40*1000</f>
        <v>2189.3491124260354</v>
      </c>
      <c r="G36" s="318">
        <f>+G33/G40*1000</f>
        <v>2592.4739791833467</v>
      </c>
      <c r="H36" s="318">
        <f>+H33/H40*1000</f>
        <v>2916.314454775993</v>
      </c>
    </row>
    <row r="37" spans="2:14">
      <c r="C37" s="46" t="s">
        <v>1756</v>
      </c>
      <c r="E37" s="785">
        <f>(+E36-H16)/H16</f>
        <v>0.32889083214578729</v>
      </c>
      <c r="F37" s="785">
        <f t="shared" ref="F37" si="8">(+F36-E36)/E36</f>
        <v>6.2867031372111332E-2</v>
      </c>
      <c r="G37" s="785">
        <f t="shared" ref="G37" si="9">(+G36-F36)/F36</f>
        <v>0.18413000670806925</v>
      </c>
      <c r="H37" s="1469">
        <f t="shared" ref="H37" si="10">(+H36-G36)/G36</f>
        <v>0.12491561272860259</v>
      </c>
    </row>
    <row r="38" spans="2:14">
      <c r="N38" s="654">
        <v>1816.6</v>
      </c>
    </row>
    <row r="39" spans="2:14">
      <c r="C39" s="47" t="s">
        <v>1721</v>
      </c>
      <c r="E39" s="871">
        <f>(+H13+E33)/2</f>
        <v>48.1</v>
      </c>
      <c r="F39" s="871">
        <f t="shared" ref="F39" si="11">(+E33+F33)/2</f>
        <v>54.25</v>
      </c>
      <c r="G39" s="871">
        <f t="shared" ref="G39" si="12">(+F33+G33)/2</f>
        <v>60.13</v>
      </c>
      <c r="H39" s="871">
        <f t="shared" ref="H39" si="13">(+G33+H33)/2</f>
        <v>66.88</v>
      </c>
      <c r="N39" s="655">
        <v>2574</v>
      </c>
    </row>
    <row r="40" spans="2:14">
      <c r="C40" s="50" t="s">
        <v>2117</v>
      </c>
      <c r="E40" s="45">
        <v>25.73</v>
      </c>
      <c r="F40" s="45">
        <v>25.35</v>
      </c>
      <c r="G40" s="1227">
        <v>24.98</v>
      </c>
      <c r="H40" s="656">
        <v>23.66</v>
      </c>
      <c r="N40" s="655">
        <v>816.1</v>
      </c>
    </row>
    <row r="41" spans="2:14">
      <c r="N41" s="655">
        <f>8537.6-8196.9</f>
        <v>340.70000000000073</v>
      </c>
    </row>
    <row r="44" spans="2:14">
      <c r="C44" s="11" t="s">
        <v>2220</v>
      </c>
      <c r="E44" s="2129" t="s">
        <v>2138</v>
      </c>
      <c r="F44" s="2129"/>
      <c r="G44" s="2143" t="s">
        <v>2139</v>
      </c>
      <c r="H44" s="2144"/>
      <c r="I44" s="2129">
        <v>2025</v>
      </c>
      <c r="J44" s="2129"/>
      <c r="K44" s="2093" t="s">
        <v>2068</v>
      </c>
      <c r="L44" s="2094"/>
    </row>
    <row r="45" spans="2:14">
      <c r="C45" s="814" t="s">
        <v>2309</v>
      </c>
      <c r="E45" s="39" t="s">
        <v>1311</v>
      </c>
      <c r="F45" s="39" t="s">
        <v>1549</v>
      </c>
      <c r="G45" s="39" t="s">
        <v>1311</v>
      </c>
      <c r="H45" s="39" t="s">
        <v>1549</v>
      </c>
      <c r="I45" s="380" t="s">
        <v>1667</v>
      </c>
      <c r="J45" s="39" t="s">
        <v>1549</v>
      </c>
      <c r="K45" s="1334" t="s">
        <v>1667</v>
      </c>
      <c r="L45" s="1222" t="s">
        <v>1549</v>
      </c>
    </row>
    <row r="46" spans="2:14">
      <c r="B46" s="45">
        <v>1</v>
      </c>
      <c r="C46" s="46" t="s">
        <v>1937</v>
      </c>
      <c r="E46" s="318">
        <v>747.97499999999991</v>
      </c>
      <c r="F46" s="209">
        <v>0.39140502354788065</v>
      </c>
      <c r="G46" s="318">
        <v>1502.7</v>
      </c>
      <c r="H46" s="631">
        <v>0.32146065973559235</v>
      </c>
      <c r="I46" s="1229">
        <v>2574</v>
      </c>
      <c r="J46" s="631">
        <f>+I46/$I$51</f>
        <v>0.30273805043281898</v>
      </c>
      <c r="K46" s="1329">
        <v>2665</v>
      </c>
      <c r="L46" s="1330">
        <f>+K46/$K$51</f>
        <v>0.45439045183290705</v>
      </c>
    </row>
    <row r="47" spans="2:14">
      <c r="B47" s="45">
        <v>2</v>
      </c>
      <c r="C47" s="46" t="s">
        <v>841</v>
      </c>
      <c r="E47" s="318">
        <v>119.60000000000001</v>
      </c>
      <c r="F47" s="209">
        <v>6.2585034013605448E-2</v>
      </c>
      <c r="G47" s="318">
        <v>848.67499999999995</v>
      </c>
      <c r="H47" s="631">
        <v>0.18155029307320411</v>
      </c>
      <c r="I47" s="1229">
        <v>816</v>
      </c>
      <c r="J47" s="631">
        <f>+I47/$I$51</f>
        <v>9.5972901768912308E-2</v>
      </c>
      <c r="K47" s="1329">
        <v>1050</v>
      </c>
      <c r="L47" s="1330">
        <f>+K47/$K$51</f>
        <v>0.17902813299232737</v>
      </c>
    </row>
    <row r="48" spans="2:14">
      <c r="B48" s="45">
        <v>3</v>
      </c>
      <c r="C48" s="46" t="s">
        <v>1579</v>
      </c>
      <c r="E48" s="318">
        <v>122.47499999999998</v>
      </c>
      <c r="F48" s="209">
        <v>6.4089481946624796E-2</v>
      </c>
      <c r="G48" s="318">
        <v>97.5</v>
      </c>
      <c r="H48" s="631">
        <v>2.0857399563599024E-2</v>
      </c>
      <c r="I48" s="1229">
        <v>341</v>
      </c>
      <c r="J48" s="631">
        <f>+I48/$I$51</f>
        <v>4.0106322920587127E-2</v>
      </c>
      <c r="K48" s="1329">
        <v>450</v>
      </c>
      <c r="L48" s="1330">
        <f>+K48/$K$51</f>
        <v>7.6726342710997444E-2</v>
      </c>
    </row>
    <row r="49" spans="1:21">
      <c r="B49" s="45">
        <v>4</v>
      </c>
      <c r="C49" s="46" t="s">
        <v>1580</v>
      </c>
      <c r="E49" s="318">
        <v>1193.3</v>
      </c>
      <c r="F49" s="209">
        <v>0.62443746729461014</v>
      </c>
      <c r="G49" s="318">
        <v>1690.2249999999999</v>
      </c>
      <c r="H49" s="631">
        <v>0.36157639156291443</v>
      </c>
      <c r="I49" s="1229">
        <v>3151.4</v>
      </c>
      <c r="J49" s="631">
        <f>+I49/$I$51</f>
        <v>0.37064828754234103</v>
      </c>
      <c r="K49" s="1329">
        <v>1400</v>
      </c>
      <c r="L49" s="1330">
        <f>+K49/$K$51</f>
        <v>0.23870417732310314</v>
      </c>
    </row>
    <row r="50" spans="1:21">
      <c r="B50" s="45">
        <v>5</v>
      </c>
      <c r="C50" s="46" t="s">
        <v>1718</v>
      </c>
      <c r="E50" s="318">
        <v>-272.34999999999991</v>
      </c>
      <c r="F50" s="209">
        <v>-0.14251700680272103</v>
      </c>
      <c r="G50" s="318">
        <v>535.5</v>
      </c>
      <c r="H50" s="631">
        <v>0.11455525606469001</v>
      </c>
      <c r="I50" s="1229">
        <v>1620</v>
      </c>
      <c r="J50" s="631">
        <f>+I50/$I$51</f>
        <v>0.19053443733534062</v>
      </c>
      <c r="K50" s="1329">
        <v>300</v>
      </c>
      <c r="L50" s="1330">
        <f>+K50/$K$51</f>
        <v>5.1150895140664961E-2</v>
      </c>
      <c r="O50" s="11" t="s">
        <v>2251</v>
      </c>
    </row>
    <row r="51" spans="1:21">
      <c r="C51" s="143" t="s">
        <v>1719</v>
      </c>
      <c r="E51" s="336">
        <v>1911</v>
      </c>
      <c r="G51" s="1455">
        <v>4674.6000000000004</v>
      </c>
      <c r="I51" s="1455">
        <f>SUM(I46:I50)</f>
        <v>8502.4</v>
      </c>
      <c r="K51" s="1763">
        <f>SUM(K46:K50)</f>
        <v>5865</v>
      </c>
      <c r="O51" s="282" t="s">
        <v>2212</v>
      </c>
      <c r="R51" s="914"/>
      <c r="S51" s="1903" t="s">
        <v>970</v>
      </c>
      <c r="T51" s="2089" t="s">
        <v>977</v>
      </c>
      <c r="U51" s="2090"/>
    </row>
    <row r="52" spans="1:21">
      <c r="R52" s="829" t="s">
        <v>1549</v>
      </c>
      <c r="S52" s="1091" t="s">
        <v>1458</v>
      </c>
      <c r="T52" s="981" t="s">
        <v>1458</v>
      </c>
      <c r="U52" s="981" t="s">
        <v>39</v>
      </c>
    </row>
    <row r="53" spans="1:21">
      <c r="C53" s="47" t="s">
        <v>1720</v>
      </c>
      <c r="E53" s="318">
        <v>38.224999999999994</v>
      </c>
      <c r="G53" s="601">
        <v>57.339999999999996</v>
      </c>
      <c r="I53" s="1984">
        <v>75</v>
      </c>
      <c r="K53" s="1902">
        <v>80</v>
      </c>
      <c r="O53" s="334" t="s">
        <v>2223</v>
      </c>
      <c r="P53" s="18"/>
      <c r="Q53" s="18"/>
      <c r="R53" s="787">
        <v>0.68</v>
      </c>
      <c r="S53" s="848">
        <f>+S56*0.68</f>
        <v>48.96</v>
      </c>
      <c r="T53" s="1618">
        <v>2.5</v>
      </c>
      <c r="U53" s="912">
        <f>+T53/S53</f>
        <v>5.1062091503267973E-2</v>
      </c>
    </row>
    <row r="54" spans="1:21">
      <c r="C54" s="880" t="s">
        <v>1581</v>
      </c>
      <c r="E54" s="1276">
        <v>4.9993459777632449E-2</v>
      </c>
      <c r="G54" s="1901">
        <v>8.1524241367282896E-2</v>
      </c>
      <c r="I54" s="1901">
        <f>+I51/(I59*1000)</f>
        <v>0.11808888888888888</v>
      </c>
      <c r="K54" s="1801">
        <f>+K51/(K59*1000)</f>
        <v>7.567741935483871E-2</v>
      </c>
      <c r="O54" s="50" t="s">
        <v>2222</v>
      </c>
      <c r="P54" s="63"/>
      <c r="Q54" s="28"/>
      <c r="R54" s="1409"/>
      <c r="S54" s="848"/>
      <c r="T54" s="1618">
        <v>0.41899999999999998</v>
      </c>
      <c r="U54" s="912">
        <f>+T54/S53</f>
        <v>8.5580065359477115E-3</v>
      </c>
    </row>
    <row r="55" spans="1:21">
      <c r="C55" s="132"/>
      <c r="I55" s="1826"/>
      <c r="K55" s="1834"/>
      <c r="O55" s="50" t="s">
        <v>2224</v>
      </c>
      <c r="P55" s="63"/>
      <c r="Q55" s="28"/>
      <c r="R55" s="1409">
        <v>0.32</v>
      </c>
      <c r="S55" s="848">
        <f>+S56*0.32</f>
        <v>23.04</v>
      </c>
      <c r="T55" s="1618">
        <v>4.6399999999999997</v>
      </c>
      <c r="U55" s="912">
        <f>+T55/S55</f>
        <v>0.2013888888888889</v>
      </c>
    </row>
    <row r="56" spans="1:21">
      <c r="C56" s="46" t="s">
        <v>1755</v>
      </c>
      <c r="I56" s="318">
        <f>+I53/I60*1000</f>
        <v>3303.964757709251</v>
      </c>
      <c r="K56" s="765">
        <f>+K53/K60*1000</f>
        <v>3636.363636363636</v>
      </c>
      <c r="O56" s="48" t="s">
        <v>2221</v>
      </c>
      <c r="P56" s="122"/>
      <c r="Q56" s="28"/>
      <c r="R56" s="874"/>
      <c r="S56" s="1311">
        <v>72</v>
      </c>
      <c r="T56" s="1621">
        <f>SUM(T53:T55)</f>
        <v>7.5589999999999993</v>
      </c>
      <c r="U56" s="1323">
        <f>+T56/S56</f>
        <v>0.1049861111111111</v>
      </c>
    </row>
    <row r="57" spans="1:21">
      <c r="C57" s="46" t="s">
        <v>1756</v>
      </c>
      <c r="I57" s="1469">
        <f>(+I56-H36)/H36</f>
        <v>0.13292472706378095</v>
      </c>
      <c r="K57" s="1765">
        <f>(+K56-I56)/I56</f>
        <v>0.10060606060606055</v>
      </c>
    </row>
    <row r="58" spans="1:21">
      <c r="I58" s="615"/>
      <c r="K58" s="615"/>
    </row>
    <row r="59" spans="1:21">
      <c r="C59" s="47" t="s">
        <v>1721</v>
      </c>
      <c r="I59" s="871">
        <f>(+H33+I53)/2</f>
        <v>72</v>
      </c>
      <c r="K59" s="1465">
        <f>(+I53+K53)/2</f>
        <v>77.5</v>
      </c>
    </row>
    <row r="60" spans="1:21">
      <c r="C60" s="50" t="s">
        <v>2117</v>
      </c>
      <c r="I60" s="1227">
        <v>22.7</v>
      </c>
      <c r="K60" s="1985">
        <v>22</v>
      </c>
    </row>
    <row r="63" spans="1:21">
      <c r="A63" s="52"/>
      <c r="B63" s="1919"/>
      <c r="C63" s="52"/>
      <c r="D63" s="52"/>
      <c r="E63" s="52"/>
      <c r="F63" s="52"/>
      <c r="G63" s="52"/>
      <c r="H63" s="52"/>
      <c r="I63" s="52"/>
      <c r="J63" s="52"/>
      <c r="K63" s="52"/>
      <c r="L63" s="52"/>
      <c r="M63" s="52"/>
      <c r="N63" s="52"/>
    </row>
    <row r="65" spans="2:29">
      <c r="K65" s="53">
        <f>+K70+K71+K72+K73</f>
        <v>5463.1</v>
      </c>
    </row>
    <row r="66" spans="2:29">
      <c r="K66" s="13">
        <f>+K65/K85/1000</f>
        <v>9.0854814568435055E-2</v>
      </c>
    </row>
    <row r="68" spans="2:29">
      <c r="C68" s="11" t="s">
        <v>2313</v>
      </c>
      <c r="J68" s="25"/>
      <c r="K68" s="615"/>
      <c r="M68" s="615"/>
    </row>
    <row r="69" spans="2:29">
      <c r="C69" s="814" t="s">
        <v>2312</v>
      </c>
      <c r="D69" s="40">
        <v>2016</v>
      </c>
      <c r="E69" s="40">
        <v>2017</v>
      </c>
      <c r="F69" s="1090">
        <v>2018</v>
      </c>
      <c r="G69" s="1090">
        <v>2019</v>
      </c>
      <c r="H69" s="1090">
        <v>2020</v>
      </c>
      <c r="I69" s="1090">
        <v>2021</v>
      </c>
      <c r="J69" s="863">
        <v>2022</v>
      </c>
      <c r="K69" s="1556">
        <v>2023</v>
      </c>
      <c r="L69" s="824">
        <v>2024</v>
      </c>
      <c r="M69" s="1556">
        <v>2025</v>
      </c>
      <c r="P69" s="1334" t="s">
        <v>2068</v>
      </c>
      <c r="Q69" s="2004" t="s">
        <v>2308</v>
      </c>
    </row>
    <row r="70" spans="2:29">
      <c r="B70" s="45">
        <v>1</v>
      </c>
      <c r="C70" s="46" t="s">
        <v>1937</v>
      </c>
      <c r="D70" s="318">
        <v>555.20000000000005</v>
      </c>
      <c r="E70" s="318">
        <v>559</v>
      </c>
      <c r="F70" s="719">
        <v>783.5</v>
      </c>
      <c r="G70" s="719">
        <v>880.2</v>
      </c>
      <c r="H70" s="719">
        <v>769.2</v>
      </c>
      <c r="I70" s="719">
        <v>641</v>
      </c>
      <c r="J70" s="740">
        <v>961.8</v>
      </c>
      <c r="K70" s="1368">
        <v>1896</v>
      </c>
      <c r="L70" s="1368">
        <v>2512</v>
      </c>
      <c r="M70" s="1368">
        <v>2574</v>
      </c>
      <c r="P70" s="1329">
        <v>2550</v>
      </c>
      <c r="Q70" s="1367">
        <v>2600</v>
      </c>
      <c r="R70" s="30"/>
      <c r="S70" s="334"/>
      <c r="T70" s="762">
        <v>2023</v>
      </c>
      <c r="U70" s="762">
        <v>2022</v>
      </c>
      <c r="V70" s="762">
        <v>2021</v>
      </c>
      <c r="W70" s="762">
        <v>2020</v>
      </c>
      <c r="X70" s="762">
        <v>2019</v>
      </c>
      <c r="Y70" s="762">
        <v>2018</v>
      </c>
      <c r="Z70" s="762">
        <v>2017</v>
      </c>
      <c r="AA70" s="762">
        <v>2016</v>
      </c>
      <c r="AB70" s="762">
        <v>2015</v>
      </c>
      <c r="AC70" s="1234">
        <v>2014</v>
      </c>
    </row>
    <row r="71" spans="2:29">
      <c r="B71" s="45">
        <v>2</v>
      </c>
      <c r="C71" s="46" t="s">
        <v>841</v>
      </c>
      <c r="D71" s="318">
        <v>24.2</v>
      </c>
      <c r="E71" s="318">
        <v>200.5</v>
      </c>
      <c r="F71" s="719">
        <v>221.1</v>
      </c>
      <c r="G71" s="719">
        <v>169.6</v>
      </c>
      <c r="H71" s="719">
        <v>-112.8</v>
      </c>
      <c r="I71" s="719">
        <v>402</v>
      </c>
      <c r="J71" s="740">
        <v>1014.7</v>
      </c>
      <c r="K71" s="1368">
        <v>1022</v>
      </c>
      <c r="L71" s="1368">
        <v>956</v>
      </c>
      <c r="M71" s="1368">
        <v>816</v>
      </c>
      <c r="P71" s="1329">
        <v>1050</v>
      </c>
      <c r="Q71" s="1367">
        <v>1100</v>
      </c>
      <c r="R71" s="30"/>
      <c r="S71" s="73"/>
      <c r="T71" s="30"/>
      <c r="AC71" s="60"/>
    </row>
    <row r="72" spans="2:29">
      <c r="B72" s="45">
        <v>3</v>
      </c>
      <c r="C72" s="46" t="s">
        <v>1579</v>
      </c>
      <c r="D72" s="318">
        <v>103.2</v>
      </c>
      <c r="E72" s="318">
        <v>261.60000000000002</v>
      </c>
      <c r="F72" s="719">
        <v>263.7</v>
      </c>
      <c r="G72" s="719">
        <v>103.9</v>
      </c>
      <c r="H72" s="719">
        <v>-139.30000000000001</v>
      </c>
      <c r="I72" s="719">
        <v>71</v>
      </c>
      <c r="J72" s="740">
        <v>61</v>
      </c>
      <c r="K72" s="1368">
        <v>46</v>
      </c>
      <c r="L72" s="1368">
        <v>212</v>
      </c>
      <c r="M72" s="1368">
        <v>341</v>
      </c>
      <c r="P72" s="1329">
        <v>450</v>
      </c>
      <c r="Q72" s="1367">
        <v>500</v>
      </c>
      <c r="R72" s="30"/>
      <c r="S72" s="73" t="s">
        <v>165</v>
      </c>
      <c r="T72" s="53">
        <f>406.8+2.5</f>
        <v>409.3</v>
      </c>
      <c r="U72" s="53">
        <f>552+40.6</f>
        <v>592.6</v>
      </c>
      <c r="V72" s="53">
        <v>466</v>
      </c>
      <c r="W72" s="53">
        <v>280</v>
      </c>
      <c r="X72" s="53">
        <v>184</v>
      </c>
      <c r="Y72" s="53">
        <v>228</v>
      </c>
      <c r="Z72" s="53">
        <v>995</v>
      </c>
      <c r="AA72" s="53">
        <v>533</v>
      </c>
      <c r="AB72" s="53">
        <v>222</v>
      </c>
      <c r="AC72" s="476">
        <v>318</v>
      </c>
    </row>
    <row r="73" spans="2:29">
      <c r="B73" s="45">
        <v>4</v>
      </c>
      <c r="C73" s="46" t="s">
        <v>1580</v>
      </c>
      <c r="D73" s="318">
        <f t="shared" ref="D73:K73" si="14">+D120</f>
        <v>-1203.5999999999999</v>
      </c>
      <c r="E73" s="318">
        <f t="shared" si="14"/>
        <v>2457.1</v>
      </c>
      <c r="F73" s="719">
        <f t="shared" si="14"/>
        <v>193.9</v>
      </c>
      <c r="G73" s="719">
        <f t="shared" si="14"/>
        <v>1692</v>
      </c>
      <c r="H73" s="719">
        <f t="shared" si="14"/>
        <v>430.20000000000005</v>
      </c>
      <c r="I73" s="719">
        <f t="shared" si="14"/>
        <v>3709</v>
      </c>
      <c r="J73" s="740">
        <f t="shared" si="14"/>
        <v>-514.20000000000005</v>
      </c>
      <c r="K73" s="740">
        <f t="shared" si="14"/>
        <v>2499.1</v>
      </c>
      <c r="L73" s="1368">
        <v>1067</v>
      </c>
      <c r="M73" s="1368">
        <v>3151.4</v>
      </c>
      <c r="P73" s="1329">
        <v>1850</v>
      </c>
      <c r="Q73" s="1367">
        <v>2050</v>
      </c>
      <c r="R73" s="30"/>
      <c r="S73" s="73" t="s">
        <v>166</v>
      </c>
      <c r="T73" s="53">
        <f>192.9+127.8</f>
        <v>320.7</v>
      </c>
      <c r="U73" s="53">
        <f>127+64</f>
        <v>191</v>
      </c>
      <c r="V73" s="53">
        <v>217</v>
      </c>
      <c r="W73" s="53">
        <v>159</v>
      </c>
      <c r="X73" s="53">
        <v>128</v>
      </c>
      <c r="Y73" s="53">
        <v>20</v>
      </c>
      <c r="Z73" s="53">
        <v>115</v>
      </c>
      <c r="AA73" s="53">
        <v>285</v>
      </c>
      <c r="AB73" s="53">
        <v>241</v>
      </c>
      <c r="AC73" s="476">
        <v>122</v>
      </c>
    </row>
    <row r="74" spans="2:29">
      <c r="B74" s="45">
        <v>5</v>
      </c>
      <c r="C74" s="46" t="s">
        <v>1718</v>
      </c>
      <c r="D74" s="318">
        <f t="shared" ref="D74:H74" si="15">+D128</f>
        <v>78</v>
      </c>
      <c r="E74" s="318">
        <f t="shared" si="15"/>
        <v>733.60000000000036</v>
      </c>
      <c r="F74" s="719">
        <f t="shared" si="15"/>
        <v>-1260</v>
      </c>
      <c r="G74" s="719">
        <f t="shared" si="15"/>
        <v>116.79999999999973</v>
      </c>
      <c r="H74" s="719">
        <f t="shared" si="15"/>
        <v>-679.79999999999973</v>
      </c>
      <c r="I74" s="719">
        <v>1008</v>
      </c>
      <c r="J74" s="740">
        <v>-106</v>
      </c>
      <c r="K74" s="740">
        <v>765</v>
      </c>
      <c r="L74" s="1368">
        <v>475</v>
      </c>
      <c r="M74" s="1368">
        <v>1620</v>
      </c>
      <c r="P74" s="1329">
        <v>700</v>
      </c>
      <c r="Q74" s="1367">
        <v>600</v>
      </c>
      <c r="R74" s="30"/>
      <c r="S74" s="73" t="s">
        <v>167</v>
      </c>
      <c r="T74" s="53">
        <f>344.3+67.4</f>
        <v>411.70000000000005</v>
      </c>
      <c r="U74" s="53">
        <v>243</v>
      </c>
      <c r="V74" s="53">
        <v>243</v>
      </c>
      <c r="W74" s="53">
        <v>457</v>
      </c>
      <c r="X74" s="53">
        <v>396</v>
      </c>
      <c r="Y74" s="53">
        <v>503</v>
      </c>
      <c r="Z74" s="53">
        <v>380.9</v>
      </c>
      <c r="AA74" s="53">
        <v>265</v>
      </c>
      <c r="AB74" s="53">
        <v>512</v>
      </c>
      <c r="AC74" s="476">
        <v>324</v>
      </c>
    </row>
    <row r="75" spans="2:29">
      <c r="C75" s="143" t="s">
        <v>1719</v>
      </c>
      <c r="D75" s="1455">
        <f t="shared" ref="D75:K75" si="16">SUM(D70:D74)</f>
        <v>-442.99999999999977</v>
      </c>
      <c r="E75" s="1455">
        <f t="shared" si="16"/>
        <v>4211.8</v>
      </c>
      <c r="F75" s="1899">
        <f t="shared" si="16"/>
        <v>202.20000000000005</v>
      </c>
      <c r="G75" s="1899">
        <f t="shared" si="16"/>
        <v>2962.4999999999995</v>
      </c>
      <c r="H75" s="1899">
        <f t="shared" si="16"/>
        <v>267.50000000000045</v>
      </c>
      <c r="I75" s="1899">
        <f t="shared" si="16"/>
        <v>5831</v>
      </c>
      <c r="J75" s="1456">
        <f t="shared" si="16"/>
        <v>1417.3</v>
      </c>
      <c r="K75" s="1456">
        <f t="shared" si="16"/>
        <v>6228.1</v>
      </c>
      <c r="L75" s="1456">
        <f>SUM(L70:L74)</f>
        <v>5222</v>
      </c>
      <c r="M75" s="1456">
        <f>SUM(M70:M74)</f>
        <v>8502.4</v>
      </c>
      <c r="P75" s="1763">
        <f>SUM(P70:P74)</f>
        <v>6600</v>
      </c>
      <c r="Q75" s="1899">
        <f>SUM(Q70:Q74)</f>
        <v>6850</v>
      </c>
      <c r="R75" s="30"/>
      <c r="S75" s="73" t="s">
        <v>165</v>
      </c>
      <c r="T75" s="53">
        <v>5157.2</v>
      </c>
      <c r="U75" s="53">
        <v>6203</v>
      </c>
      <c r="V75" s="53">
        <v>12283</v>
      </c>
      <c r="W75" s="53">
        <v>4887</v>
      </c>
      <c r="X75" s="53">
        <v>3955</v>
      </c>
      <c r="Y75" s="53">
        <v>4584</v>
      </c>
      <c r="Z75" s="53">
        <v>7384</v>
      </c>
      <c r="AA75" s="53">
        <v>3943</v>
      </c>
      <c r="AB75" s="53">
        <v>3228</v>
      </c>
      <c r="AC75" s="476">
        <v>3035</v>
      </c>
    </row>
    <row r="76" spans="2:29">
      <c r="R76" s="30"/>
      <c r="S76" s="73" t="s">
        <v>166</v>
      </c>
      <c r="T76" s="53">
        <v>2008.4</v>
      </c>
      <c r="U76" s="53">
        <v>3165</v>
      </c>
      <c r="V76" s="53">
        <v>9516</v>
      </c>
      <c r="W76" s="53">
        <v>8311</v>
      </c>
      <c r="X76" s="53">
        <v>6067</v>
      </c>
      <c r="Y76" s="53">
        <v>2138</v>
      </c>
      <c r="Z76" s="53">
        <v>9998</v>
      </c>
      <c r="AA76" s="53">
        <v>5994</v>
      </c>
      <c r="AB76" s="53">
        <v>3414</v>
      </c>
      <c r="AC76" s="476">
        <v>2500</v>
      </c>
    </row>
    <row r="77" spans="2:29" ht="17" thickBot="1">
      <c r="C77" s="880" t="s">
        <v>2315</v>
      </c>
      <c r="D77" s="1986">
        <v>28.4</v>
      </c>
      <c r="E77" s="1986">
        <v>39.299999999999997</v>
      </c>
      <c r="F77" s="1987">
        <v>38.799999999999997</v>
      </c>
      <c r="G77" s="1987">
        <v>39</v>
      </c>
      <c r="H77" s="1987">
        <v>43.2</v>
      </c>
      <c r="I77" s="1987">
        <v>53</v>
      </c>
      <c r="J77" s="1988">
        <v>55.5</v>
      </c>
      <c r="K77" s="1988">
        <v>64.760000000000005</v>
      </c>
      <c r="L77" s="1988">
        <v>69</v>
      </c>
      <c r="M77" s="1989">
        <v>75</v>
      </c>
      <c r="P77" s="1764">
        <v>80</v>
      </c>
      <c r="Q77" s="2005">
        <v>85</v>
      </c>
      <c r="R77" s="30"/>
      <c r="S77" s="73"/>
      <c r="T77" s="53"/>
      <c r="U77" s="53"/>
      <c r="V77" s="53"/>
      <c r="W77" s="53"/>
      <c r="X77" s="53"/>
      <c r="Y77" s="53"/>
      <c r="Z77" s="53"/>
      <c r="AA77" s="53"/>
      <c r="AB77" s="53"/>
      <c r="AC77" s="476"/>
    </row>
    <row r="78" spans="2:29" ht="17" thickBot="1">
      <c r="C78" s="1991" t="s">
        <v>1581</v>
      </c>
      <c r="D78" s="1992">
        <f>+D75/(D77*1000)</f>
        <v>-1.5598591549295767E-2</v>
      </c>
      <c r="E78" s="1992">
        <f t="shared" ref="E78:L78" si="17">+E75/(E85*1000)</f>
        <v>0.1244254062038405</v>
      </c>
      <c r="F78" s="1992">
        <f t="shared" si="17"/>
        <v>5.1779769526248409E-3</v>
      </c>
      <c r="G78" s="1992">
        <f t="shared" si="17"/>
        <v>7.6156812339331609E-2</v>
      </c>
      <c r="H78" s="1992">
        <f t="shared" si="17"/>
        <v>6.5085158150851689E-3</v>
      </c>
      <c r="I78" s="1992">
        <f t="shared" si="17"/>
        <v>0.12122661122661123</v>
      </c>
      <c r="J78" s="1993">
        <f t="shared" si="17"/>
        <v>2.6125345622119815E-2</v>
      </c>
      <c r="K78" s="1993">
        <f t="shared" si="17"/>
        <v>0.10357724929319807</v>
      </c>
      <c r="L78" s="1993">
        <f t="shared" si="17"/>
        <v>7.8080143540669861E-2</v>
      </c>
      <c r="M78" s="1994">
        <f>+M75/(M85*1000)</f>
        <v>0.11808888888888888</v>
      </c>
      <c r="P78" s="1801">
        <f>+P75/(P85*1000)</f>
        <v>8.5161290322580643E-2</v>
      </c>
      <c r="Q78" s="1828">
        <f>+Q75/(Q85*1000)</f>
        <v>8.3030303030303024E-2</v>
      </c>
      <c r="R78" s="30"/>
      <c r="S78" s="73" t="s">
        <v>167</v>
      </c>
      <c r="T78" s="53">
        <v>36850.800000000003</v>
      </c>
      <c r="U78" s="53">
        <v>28579</v>
      </c>
      <c r="V78" s="53">
        <v>14091</v>
      </c>
      <c r="W78" s="53">
        <v>15735</v>
      </c>
      <c r="X78" s="53">
        <v>15618</v>
      </c>
      <c r="Y78" s="53">
        <v>19256</v>
      </c>
      <c r="Z78" s="53">
        <v>9154</v>
      </c>
      <c r="AA78" s="53">
        <v>9323</v>
      </c>
      <c r="AB78" s="53">
        <v>12287</v>
      </c>
      <c r="AC78" s="476">
        <v>11446</v>
      </c>
    </row>
    <row r="79" spans="2:29" ht="17" thickBot="1">
      <c r="C79" s="1235"/>
      <c r="D79" s="1686"/>
      <c r="E79" s="1686"/>
      <c r="F79" s="1686"/>
      <c r="G79" s="1686"/>
      <c r="H79" s="1686"/>
      <c r="I79" s="1686"/>
      <c r="J79" s="1686"/>
      <c r="K79" s="1990"/>
      <c r="L79" s="1690"/>
      <c r="M79" s="1690"/>
      <c r="P79" s="1834"/>
      <c r="Q79" s="1834"/>
      <c r="R79" s="30"/>
      <c r="S79" s="73"/>
      <c r="T79" s="53"/>
      <c r="U79" s="53"/>
      <c r="V79" s="53"/>
      <c r="W79" s="53"/>
      <c r="X79" s="53"/>
      <c r="Y79" s="53"/>
      <c r="Z79" s="53"/>
      <c r="AA79" s="53"/>
      <c r="AB79" s="53"/>
      <c r="AC79" s="476"/>
    </row>
    <row r="80" spans="2:29" ht="17" thickBot="1">
      <c r="C80" s="1995" t="s">
        <v>2311</v>
      </c>
      <c r="D80" s="1996"/>
      <c r="E80" s="1997" t="s">
        <v>2310</v>
      </c>
      <c r="F80" s="2003" t="s">
        <v>2316</v>
      </c>
      <c r="G80" s="279"/>
      <c r="H80" s="279"/>
      <c r="I80" s="1998">
        <v>5.1999999999999998E-2</v>
      </c>
      <c r="J80" s="1999" t="s">
        <v>2317</v>
      </c>
      <c r="K80" s="2000"/>
      <c r="L80" s="2001"/>
      <c r="M80" s="2002">
        <v>8.1000000000000003E-2</v>
      </c>
      <c r="P80" s="1802"/>
      <c r="Q80" s="1802"/>
      <c r="R80" s="30"/>
      <c r="S80" s="1235" t="s">
        <v>19</v>
      </c>
      <c r="T80" s="469">
        <f t="shared" ref="T80:U80" si="18">SUM(T72:T78)</f>
        <v>45158.100000000006</v>
      </c>
      <c r="U80" s="469">
        <f t="shared" si="18"/>
        <v>38973.599999999999</v>
      </c>
      <c r="V80" s="469">
        <f t="shared" ref="V80:AC80" si="19">SUM(V72:V78)</f>
        <v>36816</v>
      </c>
      <c r="W80" s="469">
        <f t="shared" si="19"/>
        <v>29829</v>
      </c>
      <c r="X80" s="469">
        <f t="shared" si="19"/>
        <v>26348</v>
      </c>
      <c r="Y80" s="469">
        <f t="shared" si="19"/>
        <v>26729</v>
      </c>
      <c r="Z80" s="469">
        <f t="shared" si="19"/>
        <v>28026.9</v>
      </c>
      <c r="AA80" s="469">
        <f t="shared" si="19"/>
        <v>20343</v>
      </c>
      <c r="AB80" s="469">
        <f t="shared" si="19"/>
        <v>19904</v>
      </c>
      <c r="AC80" s="1236">
        <f t="shared" si="19"/>
        <v>17745</v>
      </c>
    </row>
    <row r="81" spans="2:29">
      <c r="N81" s="1222" t="s">
        <v>16</v>
      </c>
      <c r="R81" s="30"/>
      <c r="S81" s="73"/>
      <c r="V81" s="53"/>
      <c r="W81" s="53"/>
      <c r="X81" s="53"/>
      <c r="Y81" s="53"/>
      <c r="Z81" s="53"/>
      <c r="AA81" s="53"/>
      <c r="AB81" s="53"/>
      <c r="AC81" s="476"/>
    </row>
    <row r="82" spans="2:29">
      <c r="C82" s="46" t="s">
        <v>2314</v>
      </c>
      <c r="D82" s="318">
        <f>+D77/D86*1000</f>
        <v>1195.7894736842104</v>
      </c>
      <c r="E82" s="318">
        <f t="shared" ref="E82:L82" si="20">+E77/E86*1000</f>
        <v>1371.7277486910996</v>
      </c>
      <c r="F82" s="719">
        <f t="shared" si="20"/>
        <v>1362.8380751668424</v>
      </c>
      <c r="G82" s="719">
        <f t="shared" si="20"/>
        <v>1381.9985825655563</v>
      </c>
      <c r="H82" s="719">
        <f t="shared" si="20"/>
        <v>1550.05382131324</v>
      </c>
      <c r="I82" s="719">
        <f t="shared" si="20"/>
        <v>2059.8523124757089</v>
      </c>
      <c r="J82" s="740">
        <f t="shared" si="20"/>
        <v>2189.3491124260354</v>
      </c>
      <c r="K82" s="740">
        <f t="shared" si="20"/>
        <v>2592.4739791833467</v>
      </c>
      <c r="L82" s="740">
        <f t="shared" si="20"/>
        <v>2916.314454775993</v>
      </c>
      <c r="M82" s="740">
        <f>+M77/M86*1000</f>
        <v>3303.964757709251</v>
      </c>
      <c r="N82" s="1331">
        <f>+M82-F82</f>
        <v>1941.1266825424086</v>
      </c>
      <c r="P82" s="765">
        <f>+P77/P86*1000</f>
        <v>3636.363636363636</v>
      </c>
      <c r="Q82" s="719">
        <f>+Q77/Q86*1000</f>
        <v>3971.9626168224299</v>
      </c>
      <c r="R82" s="30"/>
      <c r="S82" s="73"/>
      <c r="V82" s="53"/>
      <c r="W82" s="53"/>
      <c r="X82" s="53"/>
      <c r="Y82" s="53"/>
      <c r="Z82" s="53"/>
      <c r="AA82" s="53"/>
      <c r="AB82" s="53"/>
      <c r="AC82" s="476"/>
    </row>
    <row r="83" spans="2:29">
      <c r="C83" s="46" t="s">
        <v>1756</v>
      </c>
      <c r="D83" s="318"/>
      <c r="E83" s="785">
        <f>(+E82-D82)/D82</f>
        <v>0.14713147997935275</v>
      </c>
      <c r="F83" s="1250">
        <f t="shared" ref="F83:L83" si="21">(+F82-E82)/E82</f>
        <v>-6.4806398592867406E-3</v>
      </c>
      <c r="G83" s="1250">
        <f t="shared" si="21"/>
        <v>1.4059269217561454E-2</v>
      </c>
      <c r="H83" s="1250">
        <f t="shared" si="21"/>
        <v>0.12160304711434959</v>
      </c>
      <c r="I83" s="1250">
        <f t="shared" si="21"/>
        <v>0.32889083214578729</v>
      </c>
      <c r="J83" s="809">
        <f t="shared" si="21"/>
        <v>6.2867031372111332E-2</v>
      </c>
      <c r="K83" s="809">
        <f t="shared" si="21"/>
        <v>0.18413000670806925</v>
      </c>
      <c r="L83" s="809">
        <f t="shared" si="21"/>
        <v>0.12491561272860259</v>
      </c>
      <c r="M83" s="809">
        <f>(+M82-L82)/L82</f>
        <v>0.13292472706378095</v>
      </c>
      <c r="N83" s="1318">
        <f>+N82/F82</f>
        <v>1.4243267178345971</v>
      </c>
      <c r="P83" s="979">
        <f>(+P82-M82)/M82</f>
        <v>0.10060606060606055</v>
      </c>
      <c r="Q83" s="1250">
        <f t="shared" ref="Q83" si="22">(+Q82-P82)/P82</f>
        <v>9.2289719626168332E-2</v>
      </c>
      <c r="R83" s="30"/>
      <c r="S83" s="73"/>
      <c r="V83" s="53"/>
      <c r="W83" s="53"/>
      <c r="X83" s="53"/>
      <c r="Y83" s="53"/>
      <c r="Z83" s="53"/>
      <c r="AA83" s="53"/>
      <c r="AB83" s="53"/>
      <c r="AC83" s="476"/>
    </row>
    <row r="84" spans="2:29">
      <c r="M84" s="615"/>
      <c r="P84" s="615"/>
      <c r="Q84" s="615"/>
      <c r="R84" s="30"/>
      <c r="S84" s="73" t="s">
        <v>165</v>
      </c>
      <c r="T84" s="53">
        <f t="shared" ref="T84:AC84" si="23">+T72+T75</f>
        <v>5566.5</v>
      </c>
      <c r="U84" s="53">
        <f t="shared" si="23"/>
        <v>6795.6</v>
      </c>
      <c r="V84" s="53">
        <f t="shared" si="23"/>
        <v>12749</v>
      </c>
      <c r="W84" s="53">
        <f t="shared" si="23"/>
        <v>5167</v>
      </c>
      <c r="X84" s="53">
        <f t="shared" si="23"/>
        <v>4139</v>
      </c>
      <c r="Y84" s="53">
        <f t="shared" si="23"/>
        <v>4812</v>
      </c>
      <c r="Z84" s="53">
        <f t="shared" si="23"/>
        <v>8379</v>
      </c>
      <c r="AA84" s="53">
        <f t="shared" si="23"/>
        <v>4476</v>
      </c>
      <c r="AB84" s="53">
        <f t="shared" si="23"/>
        <v>3450</v>
      </c>
      <c r="AC84" s="476">
        <f t="shared" si="23"/>
        <v>3353</v>
      </c>
    </row>
    <row r="85" spans="2:29">
      <c r="C85" s="47" t="s">
        <v>1721</v>
      </c>
      <c r="D85" s="39"/>
      <c r="E85" s="871">
        <f t="shared" ref="E85:L85" si="24">(+D77+E77)/2</f>
        <v>33.849999999999994</v>
      </c>
      <c r="F85" s="871">
        <f t="shared" si="24"/>
        <v>39.049999999999997</v>
      </c>
      <c r="G85" s="871">
        <f t="shared" si="24"/>
        <v>38.9</v>
      </c>
      <c r="H85" s="871">
        <f t="shared" si="24"/>
        <v>41.1</v>
      </c>
      <c r="I85" s="871">
        <f t="shared" si="24"/>
        <v>48.1</v>
      </c>
      <c r="J85" s="871">
        <f t="shared" si="24"/>
        <v>54.25</v>
      </c>
      <c r="K85" s="871">
        <f t="shared" si="24"/>
        <v>60.13</v>
      </c>
      <c r="L85" s="871">
        <f t="shared" si="24"/>
        <v>66.88</v>
      </c>
      <c r="M85" s="871">
        <f>(+L77+M77)/2</f>
        <v>72</v>
      </c>
      <c r="P85" s="1465">
        <f>(+M77+P77)/2</f>
        <v>77.5</v>
      </c>
      <c r="Q85" s="875">
        <f>(+P77+Q77)/2</f>
        <v>82.5</v>
      </c>
      <c r="R85" s="30"/>
      <c r="S85" s="73" t="s">
        <v>166</v>
      </c>
      <c r="T85" s="53">
        <f t="shared" ref="T85:AC85" si="25">+T73+T76</f>
        <v>2329.1</v>
      </c>
      <c r="U85" s="53">
        <f t="shared" si="25"/>
        <v>3356</v>
      </c>
      <c r="V85" s="53">
        <f t="shared" si="25"/>
        <v>9733</v>
      </c>
      <c r="W85" s="53">
        <f t="shared" si="25"/>
        <v>8470</v>
      </c>
      <c r="X85" s="53">
        <f t="shared" si="25"/>
        <v>6195</v>
      </c>
      <c r="Y85" s="53">
        <f t="shared" si="25"/>
        <v>2158</v>
      </c>
      <c r="Z85" s="53">
        <f t="shared" si="25"/>
        <v>10113</v>
      </c>
      <c r="AA85" s="53">
        <f t="shared" si="25"/>
        <v>6279</v>
      </c>
      <c r="AB85" s="53">
        <f t="shared" si="25"/>
        <v>3655</v>
      </c>
      <c r="AC85" s="476">
        <f t="shared" si="25"/>
        <v>2622</v>
      </c>
    </row>
    <row r="86" spans="2:29">
      <c r="C86" s="50" t="s">
        <v>2117</v>
      </c>
      <c r="D86" s="45">
        <v>23.75</v>
      </c>
      <c r="E86" s="45">
        <v>28.65</v>
      </c>
      <c r="F86" s="45">
        <v>28.47</v>
      </c>
      <c r="G86" s="45">
        <v>28.22</v>
      </c>
      <c r="H86" s="45">
        <v>27.87</v>
      </c>
      <c r="I86" s="45">
        <v>25.73</v>
      </c>
      <c r="J86" s="45">
        <v>25.35</v>
      </c>
      <c r="K86" s="1227">
        <v>24.98</v>
      </c>
      <c r="L86" s="1227">
        <v>23.66</v>
      </c>
      <c r="M86" s="1227">
        <v>22.7</v>
      </c>
      <c r="P86" s="1985">
        <v>22</v>
      </c>
      <c r="Q86" s="2006">
        <v>21.4</v>
      </c>
      <c r="R86" s="30"/>
      <c r="S86" s="73" t="s">
        <v>167</v>
      </c>
      <c r="T86" s="53">
        <f t="shared" ref="T86:AC86" si="26">+T74+T78</f>
        <v>37262.5</v>
      </c>
      <c r="U86" s="53">
        <f t="shared" si="26"/>
        <v>28822</v>
      </c>
      <c r="V86" s="53">
        <f t="shared" si="26"/>
        <v>14334</v>
      </c>
      <c r="W86" s="53">
        <f t="shared" si="26"/>
        <v>16192</v>
      </c>
      <c r="X86" s="53">
        <f t="shared" si="26"/>
        <v>16014</v>
      </c>
      <c r="Y86" s="53">
        <f t="shared" si="26"/>
        <v>19759</v>
      </c>
      <c r="Z86" s="53">
        <f t="shared" si="26"/>
        <v>9534.9</v>
      </c>
      <c r="AA86" s="53">
        <f t="shared" si="26"/>
        <v>9588</v>
      </c>
      <c r="AB86" s="53">
        <f t="shared" si="26"/>
        <v>12799</v>
      </c>
      <c r="AC86" s="476">
        <f t="shared" si="26"/>
        <v>11770</v>
      </c>
    </row>
    <row r="87" spans="2:29">
      <c r="N87" s="615"/>
      <c r="O87" s="11"/>
      <c r="R87" s="30"/>
      <c r="S87" s="145" t="s">
        <v>19</v>
      </c>
      <c r="T87" s="1237">
        <f t="shared" ref="T87:AC87" si="27">SUM(T84:T86)</f>
        <v>45158.1</v>
      </c>
      <c r="U87" s="1237">
        <f t="shared" si="27"/>
        <v>38973.599999999999</v>
      </c>
      <c r="V87" s="1237">
        <f t="shared" si="27"/>
        <v>36816</v>
      </c>
      <c r="W87" s="1237">
        <f t="shared" si="27"/>
        <v>29829</v>
      </c>
      <c r="X87" s="1237">
        <f t="shared" si="27"/>
        <v>26348</v>
      </c>
      <c r="Y87" s="1237">
        <f t="shared" si="27"/>
        <v>26729</v>
      </c>
      <c r="Z87" s="1237">
        <f t="shared" si="27"/>
        <v>28026.9</v>
      </c>
      <c r="AA87" s="1237">
        <f t="shared" si="27"/>
        <v>20343</v>
      </c>
      <c r="AB87" s="1237">
        <f t="shared" si="27"/>
        <v>19904</v>
      </c>
      <c r="AC87" s="1238">
        <f t="shared" si="27"/>
        <v>17745</v>
      </c>
    </row>
    <row r="88" spans="2:29">
      <c r="N88" s="615"/>
      <c r="O88" s="11"/>
      <c r="P88" s="636"/>
      <c r="R88" s="30"/>
      <c r="T88" s="53"/>
      <c r="U88" s="53"/>
      <c r="V88" s="53"/>
      <c r="W88" s="53"/>
      <c r="X88" s="53"/>
      <c r="Y88" s="53"/>
      <c r="Z88" s="53"/>
      <c r="AA88" s="53"/>
      <c r="AB88" s="53"/>
      <c r="AC88" s="53"/>
    </row>
    <row r="89" spans="2:29">
      <c r="C89" s="1" t="s">
        <v>2137</v>
      </c>
      <c r="F89" s="42"/>
      <c r="G89" s="42"/>
      <c r="H89" s="42"/>
      <c r="J89" s="792">
        <v>2024</v>
      </c>
      <c r="K89" s="824">
        <v>2025</v>
      </c>
      <c r="L89" s="615"/>
      <c r="M89" s="615"/>
      <c r="N89" s="615"/>
      <c r="O89" s="11"/>
      <c r="P89" s="636"/>
      <c r="R89" s="30"/>
      <c r="T89" s="53"/>
      <c r="U89" s="53"/>
      <c r="V89" s="53"/>
      <c r="W89" s="53"/>
      <c r="X89" s="53"/>
      <c r="Y89" s="53"/>
      <c r="Z89" s="53"/>
      <c r="AA89" s="53"/>
      <c r="AB89" s="53"/>
      <c r="AC89" s="53"/>
    </row>
    <row r="90" spans="2:29">
      <c r="C90" s="814" t="s">
        <v>2132</v>
      </c>
      <c r="E90" s="1829" t="s">
        <v>1931</v>
      </c>
      <c r="F90" s="1829" t="s">
        <v>1932</v>
      </c>
      <c r="G90" s="1829" t="s">
        <v>1933</v>
      </c>
      <c r="H90" s="1829" t="s">
        <v>1934</v>
      </c>
      <c r="J90" s="826" t="s">
        <v>923</v>
      </c>
      <c r="K90" s="825" t="s">
        <v>923</v>
      </c>
      <c r="L90" s="615"/>
      <c r="M90" s="615"/>
      <c r="N90" s="615"/>
      <c r="O90" s="11"/>
      <c r="P90" s="636"/>
      <c r="R90" s="1045" t="s">
        <v>1685</v>
      </c>
      <c r="T90" s="53"/>
      <c r="U90" s="54" t="s">
        <v>170</v>
      </c>
      <c r="V90" s="54" t="s">
        <v>1254</v>
      </c>
      <c r="W90" s="54" t="s">
        <v>1684</v>
      </c>
      <c r="X90" s="54" t="s">
        <v>1604</v>
      </c>
      <c r="Y90" s="54" t="s">
        <v>41</v>
      </c>
      <c r="Z90" s="469" t="s">
        <v>19</v>
      </c>
      <c r="AA90" s="469" t="s">
        <v>48</v>
      </c>
      <c r="AB90" s="53"/>
      <c r="AC90" s="53"/>
    </row>
    <row r="91" spans="2:29">
      <c r="B91" s="45">
        <v>1</v>
      </c>
      <c r="C91" s="46" t="s">
        <v>1937</v>
      </c>
      <c r="E91" s="318">
        <f>(+E70+F70)/2</f>
        <v>671.25</v>
      </c>
      <c r="F91" s="318">
        <f>(+G70+H70)/2</f>
        <v>824.7</v>
      </c>
      <c r="G91" s="318">
        <f>(+I70+J70)/2</f>
        <v>801.4</v>
      </c>
      <c r="H91" s="318">
        <f>(+K70+L70)/2</f>
        <v>2204</v>
      </c>
      <c r="J91" s="1367">
        <f t="shared" ref="J91:J95" si="28">+L70</f>
        <v>2512</v>
      </c>
      <c r="K91" s="1368">
        <f>+M70</f>
        <v>2574</v>
      </c>
      <c r="L91" s="615"/>
      <c r="M91" s="615"/>
      <c r="N91" s="615"/>
      <c r="O91" s="11"/>
      <c r="P91" s="636"/>
      <c r="R91" s="30"/>
      <c r="T91" s="53"/>
      <c r="U91" s="53"/>
      <c r="V91" s="53"/>
      <c r="W91" s="53"/>
      <c r="X91" s="53"/>
      <c r="Y91" s="53"/>
      <c r="Z91" s="53"/>
      <c r="AA91" s="53"/>
      <c r="AB91" s="53"/>
      <c r="AC91" s="53"/>
    </row>
    <row r="92" spans="2:29" ht="17">
      <c r="B92" s="45">
        <v>2</v>
      </c>
      <c r="C92" s="46" t="s">
        <v>841</v>
      </c>
      <c r="E92" s="318">
        <f>(+E71+F71)/2</f>
        <v>210.8</v>
      </c>
      <c r="F92" s="318">
        <f>(+G71+H71)/2</f>
        <v>28.4</v>
      </c>
      <c r="G92" s="318">
        <f>(+I71+J71)/2</f>
        <v>708.35</v>
      </c>
      <c r="H92" s="318">
        <f>(+K71+L71)/2</f>
        <v>989</v>
      </c>
      <c r="J92" s="1367">
        <f t="shared" si="28"/>
        <v>956</v>
      </c>
      <c r="K92" s="1368">
        <f>+M71</f>
        <v>816</v>
      </c>
      <c r="L92" s="615"/>
      <c r="M92" s="615"/>
      <c r="N92" s="691" t="s">
        <v>2133</v>
      </c>
      <c r="O92" s="11"/>
      <c r="P92" s="636"/>
      <c r="R92" s="50" t="s">
        <v>2</v>
      </c>
      <c r="S92" s="63"/>
      <c r="T92" s="1168"/>
      <c r="U92" s="318">
        <v>510</v>
      </c>
      <c r="V92" s="318"/>
      <c r="W92" s="318"/>
      <c r="X92" s="318">
        <v>200</v>
      </c>
      <c r="Y92" s="318"/>
      <c r="Z92" s="336">
        <f>SUM(U92:Y92)</f>
        <v>710</v>
      </c>
      <c r="AA92" s="53"/>
      <c r="AB92" s="53"/>
      <c r="AC92" s="53"/>
    </row>
    <row r="93" spans="2:29">
      <c r="B93" s="45">
        <v>3</v>
      </c>
      <c r="C93" s="46" t="s">
        <v>1579</v>
      </c>
      <c r="E93" s="318">
        <f>(+E72+F72)/2</f>
        <v>262.64999999999998</v>
      </c>
      <c r="F93" s="318">
        <f>(+G72+H72)/2</f>
        <v>-17.700000000000003</v>
      </c>
      <c r="G93" s="318">
        <f>(+I72+J72)/2</f>
        <v>66</v>
      </c>
      <c r="H93" s="318">
        <f>(+K72+L72)/2</f>
        <v>129</v>
      </c>
      <c r="J93" s="1367">
        <f t="shared" si="28"/>
        <v>212</v>
      </c>
      <c r="K93" s="1368">
        <f>+M72</f>
        <v>341</v>
      </c>
      <c r="L93" s="615"/>
      <c r="M93" s="615"/>
      <c r="N93" s="615"/>
      <c r="O93" s="11"/>
      <c r="P93" s="636"/>
      <c r="R93" s="50" t="s">
        <v>1392</v>
      </c>
      <c r="S93" s="63"/>
      <c r="T93" s="1168"/>
      <c r="U93" s="318">
        <v>250</v>
      </c>
      <c r="V93" s="318"/>
      <c r="W93" s="318"/>
      <c r="X93" s="318"/>
      <c r="Y93" s="318">
        <v>100</v>
      </c>
      <c r="Z93" s="336">
        <f t="shared" ref="Z93:Z97" si="29">SUM(U93:Y93)</f>
        <v>350</v>
      </c>
      <c r="AA93" s="53"/>
      <c r="AB93" s="53"/>
      <c r="AC93" s="53"/>
    </row>
    <row r="94" spans="2:29">
      <c r="B94" s="45">
        <v>4</v>
      </c>
      <c r="C94" s="46" t="s">
        <v>1580</v>
      </c>
      <c r="E94" s="318">
        <f>(+E73+F73)/2</f>
        <v>1325.5</v>
      </c>
      <c r="F94" s="318">
        <f>(+G73+H73)/2</f>
        <v>1061.0999999999999</v>
      </c>
      <c r="G94" s="318">
        <f>(+I73+J73)/2</f>
        <v>1597.4</v>
      </c>
      <c r="H94" s="318">
        <f>(+K73+L73)/2</f>
        <v>1783.05</v>
      </c>
      <c r="J94" s="1367">
        <f t="shared" si="28"/>
        <v>1067</v>
      </c>
      <c r="K94" s="1368">
        <f>+M73</f>
        <v>3151.4</v>
      </c>
      <c r="L94" s="615"/>
      <c r="M94" s="615"/>
      <c r="N94" s="615"/>
      <c r="O94" s="11"/>
      <c r="P94" s="636"/>
      <c r="R94" s="50" t="s">
        <v>1681</v>
      </c>
      <c r="S94" s="63"/>
      <c r="T94" s="1168"/>
      <c r="U94" s="318">
        <v>140</v>
      </c>
      <c r="V94" s="318"/>
      <c r="W94" s="318"/>
      <c r="X94" s="318">
        <v>100</v>
      </c>
      <c r="Y94" s="318">
        <v>50</v>
      </c>
      <c r="Z94" s="336">
        <f t="shared" si="29"/>
        <v>290</v>
      </c>
      <c r="AA94" s="53"/>
      <c r="AB94" s="53"/>
      <c r="AC94" s="53"/>
    </row>
    <row r="95" spans="2:29">
      <c r="B95" s="45">
        <v>5</v>
      </c>
      <c r="C95" s="46" t="s">
        <v>1718</v>
      </c>
      <c r="E95" s="318">
        <f>(+E74+F74)/2</f>
        <v>-263.19999999999982</v>
      </c>
      <c r="F95" s="318">
        <f>(+G74+H74)/2</f>
        <v>-281.5</v>
      </c>
      <c r="G95" s="318">
        <f>(+I74+J74)/2</f>
        <v>451</v>
      </c>
      <c r="H95" s="318">
        <f>(+K74+L74)/2</f>
        <v>620</v>
      </c>
      <c r="J95" s="1367">
        <f t="shared" si="28"/>
        <v>475</v>
      </c>
      <c r="K95" s="1368">
        <f>+M74</f>
        <v>1620</v>
      </c>
      <c r="L95" s="615"/>
      <c r="M95" s="615"/>
      <c r="N95" s="615"/>
      <c r="O95" s="11"/>
      <c r="P95" s="636"/>
      <c r="R95" s="50" t="s">
        <v>1680</v>
      </c>
      <c r="S95" s="63"/>
      <c r="T95" s="1168"/>
      <c r="U95" s="318"/>
      <c r="V95" s="318">
        <v>400</v>
      </c>
      <c r="W95" s="318"/>
      <c r="X95" s="318"/>
      <c r="Y95" s="318"/>
      <c r="Z95" s="336">
        <f t="shared" si="29"/>
        <v>400</v>
      </c>
      <c r="AA95" s="53" t="s">
        <v>1682</v>
      </c>
      <c r="AB95" s="53"/>
      <c r="AC95" s="53"/>
    </row>
    <row r="96" spans="2:29">
      <c r="C96" s="143" t="s">
        <v>1936</v>
      </c>
      <c r="E96" s="832">
        <f t="shared" ref="E96:H96" si="30">SUM(E91:E95)</f>
        <v>2207</v>
      </c>
      <c r="F96" s="832">
        <f t="shared" si="30"/>
        <v>1615</v>
      </c>
      <c r="G96" s="832">
        <f t="shared" si="30"/>
        <v>3624.15</v>
      </c>
      <c r="H96" s="832">
        <f t="shared" si="30"/>
        <v>5725.05</v>
      </c>
      <c r="J96" s="833">
        <f>SUM(J91:J95)</f>
        <v>5222</v>
      </c>
      <c r="K96" s="834">
        <f>SUM(K91:K95)</f>
        <v>8502.4</v>
      </c>
      <c r="L96" s="615"/>
      <c r="M96" s="615"/>
      <c r="N96" s="615"/>
      <c r="O96" s="11"/>
      <c r="P96" s="636"/>
      <c r="R96" s="50" t="s">
        <v>1254</v>
      </c>
      <c r="S96" s="63"/>
      <c r="T96" s="1168"/>
      <c r="U96" s="318"/>
      <c r="V96" s="318">
        <v>600</v>
      </c>
      <c r="W96" s="318"/>
      <c r="X96" s="318"/>
      <c r="Y96" s="318"/>
      <c r="Z96" s="336">
        <f t="shared" si="29"/>
        <v>600</v>
      </c>
      <c r="AA96" s="53"/>
      <c r="AB96" s="53"/>
      <c r="AC96" s="53"/>
    </row>
    <row r="97" spans="2:29">
      <c r="L97" s="615"/>
      <c r="M97" s="615"/>
      <c r="N97" s="104"/>
      <c r="R97" s="1427" t="s">
        <v>1683</v>
      </c>
      <c r="S97" s="63"/>
      <c r="T97" s="1428"/>
      <c r="U97" s="318"/>
      <c r="V97" s="336">
        <v>500</v>
      </c>
      <c r="W97" s="318"/>
      <c r="X97" s="318"/>
      <c r="Y97" s="318"/>
      <c r="Z97" s="336">
        <f t="shared" si="29"/>
        <v>500</v>
      </c>
    </row>
    <row r="98" spans="2:29">
      <c r="C98" s="47" t="s">
        <v>1935</v>
      </c>
      <c r="E98" s="871">
        <f>+(F85+E85)/2</f>
        <v>36.449999999999996</v>
      </c>
      <c r="F98" s="871">
        <f>+(H85+G85)/2</f>
        <v>40</v>
      </c>
      <c r="G98" s="871">
        <f>+(J85+I85)/2</f>
        <v>51.174999999999997</v>
      </c>
      <c r="H98" s="871">
        <f>+(L85+K85)/2</f>
        <v>63.504999999999995</v>
      </c>
      <c r="J98" s="875">
        <f>+L77</f>
        <v>69</v>
      </c>
      <c r="K98" s="1001">
        <f>+M77</f>
        <v>75</v>
      </c>
      <c r="L98" s="615"/>
      <c r="M98" s="615"/>
      <c r="N98" s="615"/>
      <c r="O98" s="11"/>
      <c r="P98" s="636"/>
      <c r="R98" s="50" t="s">
        <v>1396</v>
      </c>
      <c r="S98" s="63"/>
      <c r="T98" s="1168"/>
      <c r="U98" s="335"/>
      <c r="V98" s="335"/>
      <c r="W98" s="335">
        <v>300</v>
      </c>
      <c r="X98" s="335"/>
      <c r="Y98" s="335">
        <v>50</v>
      </c>
      <c r="Z98" s="336">
        <f>SUM(U98:Y98)</f>
        <v>350</v>
      </c>
      <c r="AA98" s="53"/>
      <c r="AB98" s="53"/>
      <c r="AC98" s="53"/>
    </row>
    <row r="99" spans="2:29">
      <c r="C99" s="1317" t="s">
        <v>1581</v>
      </c>
      <c r="E99" s="1830">
        <f>+E96/(E98*1000)</f>
        <v>6.0548696844993151E-2</v>
      </c>
      <c r="F99" s="1830">
        <f t="shared" ref="F99:H99" si="31">+F96/(F98*1000)</f>
        <v>4.0375000000000001E-2</v>
      </c>
      <c r="G99" s="1830">
        <f t="shared" si="31"/>
        <v>7.0818759159745975E-2</v>
      </c>
      <c r="H99" s="1830">
        <f t="shared" si="31"/>
        <v>9.0151169199275655E-2</v>
      </c>
      <c r="J99" s="830">
        <f>+L78</f>
        <v>7.8080143540669861E-2</v>
      </c>
      <c r="K99" s="831">
        <f>+M78</f>
        <v>0.11808888888888888</v>
      </c>
      <c r="U99" s="336">
        <f t="shared" ref="U99:Z99" si="32">SUM(U92:U98)</f>
        <v>900</v>
      </c>
      <c r="V99" s="336">
        <f t="shared" si="32"/>
        <v>1500</v>
      </c>
      <c r="W99" s="336">
        <f t="shared" si="32"/>
        <v>300</v>
      </c>
      <c r="X99" s="336">
        <f t="shared" si="32"/>
        <v>300</v>
      </c>
      <c r="Y99" s="336">
        <f t="shared" si="32"/>
        <v>200</v>
      </c>
      <c r="Z99" s="336">
        <f t="shared" si="32"/>
        <v>3200</v>
      </c>
    </row>
    <row r="100" spans="2:29">
      <c r="D100" s="42"/>
      <c r="E100" s="42"/>
      <c r="F100" s="42"/>
      <c r="G100" s="42"/>
      <c r="H100" s="42"/>
      <c r="I100" s="42"/>
      <c r="J100" s="42"/>
      <c r="K100" s="615"/>
      <c r="L100" s="615"/>
      <c r="M100" s="615"/>
    </row>
    <row r="101" spans="2:29">
      <c r="D101" s="42"/>
      <c r="E101" s="42"/>
      <c r="F101" s="42"/>
      <c r="G101" s="42"/>
      <c r="H101" s="42"/>
      <c r="I101" s="42"/>
      <c r="J101" s="42"/>
      <c r="K101" s="615"/>
      <c r="L101" s="615"/>
      <c r="M101" s="615"/>
    </row>
    <row r="102" spans="2:29">
      <c r="C102" s="1" t="s">
        <v>2140</v>
      </c>
      <c r="F102" s="42"/>
      <c r="G102" s="42"/>
      <c r="H102" s="42"/>
      <c r="I102" s="42"/>
      <c r="J102" s="42"/>
      <c r="K102" s="42"/>
      <c r="L102" s="615"/>
      <c r="M102" s="615"/>
    </row>
    <row r="103" spans="2:29">
      <c r="C103" s="814" t="s">
        <v>2132</v>
      </c>
      <c r="E103" s="2142" t="s">
        <v>2138</v>
      </c>
      <c r="F103" s="2142"/>
      <c r="H103" s="2142" t="s">
        <v>2139</v>
      </c>
      <c r="I103" s="2142"/>
      <c r="K103" s="1556">
        <v>2025</v>
      </c>
      <c r="L103" s="2138">
        <v>2026</v>
      </c>
      <c r="M103" s="2138"/>
      <c r="O103" s="1372" t="s">
        <v>2134</v>
      </c>
      <c r="P103" s="1372" t="s">
        <v>2135</v>
      </c>
      <c r="Q103" s="1827" t="s">
        <v>2136</v>
      </c>
    </row>
    <row r="104" spans="2:29">
      <c r="B104" s="45">
        <v>1</v>
      </c>
      <c r="C104" s="46" t="s">
        <v>1937</v>
      </c>
      <c r="E104" s="318">
        <f>+(E70+F70+G70+H70)/4</f>
        <v>747.97499999999991</v>
      </c>
      <c r="F104" s="209">
        <f>+E104/$E$109</f>
        <v>0.39140502354788065</v>
      </c>
      <c r="H104" s="318">
        <f>+(I70+J70+K70+L70)/4</f>
        <v>1502.7</v>
      </c>
      <c r="I104" s="631">
        <f>+H104/$H$109</f>
        <v>0.32146065973559235</v>
      </c>
      <c r="K104" s="1831">
        <f>+M70</f>
        <v>2574</v>
      </c>
      <c r="L104" s="1835">
        <f>+P70</f>
        <v>2550</v>
      </c>
      <c r="M104" s="1330">
        <f>+L104/$L$109</f>
        <v>0.38636363636363635</v>
      </c>
      <c r="O104" s="405">
        <f>+(D70+E70+F70)/3</f>
        <v>632.56666666666672</v>
      </c>
      <c r="P104" s="405">
        <f>+(G70+H70+I70)/3</f>
        <v>763.4666666666667</v>
      </c>
      <c r="Q104" s="405">
        <f>+(J70+K70+L70)/3</f>
        <v>1789.9333333333334</v>
      </c>
    </row>
    <row r="105" spans="2:29">
      <c r="B105" s="45">
        <v>2</v>
      </c>
      <c r="C105" s="46" t="s">
        <v>841</v>
      </c>
      <c r="E105" s="318">
        <f>+(E71+F71+G71+H71)/4</f>
        <v>119.60000000000001</v>
      </c>
      <c r="F105" s="209">
        <f t="shared" ref="F105:F108" si="33">+E105/$E$109</f>
        <v>6.2585034013605448E-2</v>
      </c>
      <c r="H105" s="318">
        <f>+(I71+J71+K71+L71)/4</f>
        <v>848.67499999999995</v>
      </c>
      <c r="I105" s="631">
        <f t="shared" ref="I105:I108" si="34">+H105/$H$109</f>
        <v>0.18155029307320411</v>
      </c>
      <c r="K105" s="1831">
        <f>+M71</f>
        <v>816</v>
      </c>
      <c r="L105" s="1835">
        <f>+P71</f>
        <v>1050</v>
      </c>
      <c r="M105" s="1330">
        <f t="shared" ref="M105:M108" si="35">+L105/$L$109</f>
        <v>0.15909090909090909</v>
      </c>
      <c r="O105" s="405">
        <f>+(D71+E71+F71)/3</f>
        <v>148.6</v>
      </c>
      <c r="P105" s="405">
        <f>+(G71+H71+I71)/3</f>
        <v>152.93333333333334</v>
      </c>
      <c r="Q105" s="405">
        <f>+(J71+K71+L71)/3</f>
        <v>997.56666666666661</v>
      </c>
    </row>
    <row r="106" spans="2:29">
      <c r="B106" s="45">
        <v>3</v>
      </c>
      <c r="C106" s="46" t="s">
        <v>1579</v>
      </c>
      <c r="E106" s="318">
        <f>+(E72+F72+G72+H72)/4</f>
        <v>122.47499999999998</v>
      </c>
      <c r="F106" s="209">
        <f t="shared" si="33"/>
        <v>6.4089481946624796E-2</v>
      </c>
      <c r="H106" s="318">
        <f>+(I72+J72+K72+L72)/4</f>
        <v>97.5</v>
      </c>
      <c r="I106" s="631">
        <f t="shared" si="34"/>
        <v>2.0857399563599024E-2</v>
      </c>
      <c r="K106" s="1831">
        <f>+M72</f>
        <v>341</v>
      </c>
      <c r="L106" s="1835">
        <f>+P72</f>
        <v>450</v>
      </c>
      <c r="M106" s="1330">
        <f t="shared" si="35"/>
        <v>6.8181818181818177E-2</v>
      </c>
      <c r="O106" s="405">
        <f>+(D72+E72+F72)/3</f>
        <v>209.5</v>
      </c>
      <c r="P106" s="405">
        <f>+(G72+H72+I72)/3</f>
        <v>11.866666666666665</v>
      </c>
      <c r="Q106" s="405">
        <f>+(J72+K72+L72)/3</f>
        <v>106.33333333333333</v>
      </c>
    </row>
    <row r="107" spans="2:29">
      <c r="B107" s="45">
        <v>4</v>
      </c>
      <c r="C107" s="46" t="s">
        <v>1580</v>
      </c>
      <c r="E107" s="318">
        <f>+(E73+F73+G73+H73)/4</f>
        <v>1193.3</v>
      </c>
      <c r="F107" s="631">
        <f t="shared" si="33"/>
        <v>0.62443746729461014</v>
      </c>
      <c r="H107" s="318">
        <f>+(I73+J73+K73+L73)/4</f>
        <v>1690.2249999999999</v>
      </c>
      <c r="I107" s="631">
        <f t="shared" si="34"/>
        <v>0.36157639156291443</v>
      </c>
      <c r="K107" s="1831">
        <f>+M73</f>
        <v>3151.4</v>
      </c>
      <c r="L107" s="1835">
        <f>+P73</f>
        <v>1850</v>
      </c>
      <c r="M107" s="1330">
        <f t="shared" si="35"/>
        <v>0.28030303030303028</v>
      </c>
      <c r="O107" s="405">
        <f>+(D73+E73+F73)/3</f>
        <v>482.4666666666667</v>
      </c>
      <c r="P107" s="405">
        <f>+(G73+H73+I73)/3</f>
        <v>1943.7333333333333</v>
      </c>
      <c r="Q107" s="405">
        <f>+(J73+K73+L73)/3</f>
        <v>1017.2999999999998</v>
      </c>
    </row>
    <row r="108" spans="2:29">
      <c r="B108" s="45">
        <v>5</v>
      </c>
      <c r="C108" s="46" t="s">
        <v>1718</v>
      </c>
      <c r="E108" s="318">
        <f>+(E74+F74+G74+H74)/4</f>
        <v>-272.34999999999991</v>
      </c>
      <c r="F108" s="209">
        <f t="shared" si="33"/>
        <v>-0.14251700680272103</v>
      </c>
      <c r="H108" s="318">
        <f>+(I74+J74+K74+L74)/4</f>
        <v>535.5</v>
      </c>
      <c r="I108" s="631">
        <f t="shared" si="34"/>
        <v>0.11455525606469001</v>
      </c>
      <c r="K108" s="1831">
        <f>+M74</f>
        <v>1620</v>
      </c>
      <c r="L108" s="1835">
        <f>+P74</f>
        <v>700</v>
      </c>
      <c r="M108" s="1330">
        <f t="shared" si="35"/>
        <v>0.10606060606060606</v>
      </c>
      <c r="O108" s="405">
        <f>+(D74+E74+F74)/3</f>
        <v>-149.46666666666655</v>
      </c>
      <c r="P108" s="405">
        <f>+(G74+H74+I74)/3</f>
        <v>148.33333333333334</v>
      </c>
      <c r="Q108" s="405">
        <f>+(J74+K74+L74)/3</f>
        <v>378</v>
      </c>
    </row>
    <row r="109" spans="2:29">
      <c r="C109" s="143" t="s">
        <v>1936</v>
      </c>
      <c r="E109" s="832">
        <f t="shared" ref="E109" si="36">SUM(E104:E108)</f>
        <v>1911</v>
      </c>
      <c r="H109" s="884">
        <f>SUM(H104:H108)</f>
        <v>4674.6000000000004</v>
      </c>
      <c r="I109" s="54"/>
      <c r="K109" s="1832">
        <f>SUM(K104:K108)</f>
        <v>8502.4</v>
      </c>
      <c r="L109" s="1836">
        <f>SUM(L104:L108)</f>
        <v>6600</v>
      </c>
      <c r="O109" s="1371">
        <f>SUM(O104:O108)</f>
        <v>1323.666666666667</v>
      </c>
      <c r="P109" s="1371">
        <f>SUM(P104:P108)</f>
        <v>3020.3333333333335</v>
      </c>
      <c r="Q109" s="1034">
        <f>SUM(Q104:Q108)</f>
        <v>4289.1333333333332</v>
      </c>
    </row>
    <row r="110" spans="2:29">
      <c r="K110" s="615"/>
      <c r="L110" s="615"/>
    </row>
    <row r="111" spans="2:29">
      <c r="C111" s="47" t="s">
        <v>1935</v>
      </c>
      <c r="E111" s="871">
        <f>+(E85+F85+G85+H85)/4</f>
        <v>38.224999999999994</v>
      </c>
      <c r="H111" s="871">
        <f>+(I85+J85+K85+L85)/4</f>
        <v>57.339999999999996</v>
      </c>
      <c r="I111" s="899"/>
      <c r="K111" s="1001">
        <f>+M85</f>
        <v>72</v>
      </c>
      <c r="L111" s="1764">
        <f>+P85</f>
        <v>77.5</v>
      </c>
      <c r="O111" s="1373">
        <f>+(D77+E77+F77)/3</f>
        <v>35.499999999999993</v>
      </c>
      <c r="P111" s="1373">
        <f>+(G77+H77+I77)/3</f>
        <v>45.066666666666663</v>
      </c>
      <c r="Q111" s="1373">
        <f>+(J77+K77+L77)/3</f>
        <v>63.086666666666666</v>
      </c>
    </row>
    <row r="112" spans="2:29">
      <c r="C112" s="1369" t="s">
        <v>1581</v>
      </c>
      <c r="E112" s="1374">
        <f>+E109/(E111*1000)</f>
        <v>4.9993459777632449E-2</v>
      </c>
      <c r="H112" s="1374">
        <f t="shared" ref="H112" si="37">+H109/(H111*1000)</f>
        <v>8.1524241367282896E-2</v>
      </c>
      <c r="I112" s="1690"/>
      <c r="K112" s="1833">
        <f>+K109/(K111*1000)</f>
        <v>0.11808888888888888</v>
      </c>
      <c r="L112" s="1837">
        <f>+L109/(L111*1000)</f>
        <v>8.5161290322580643E-2</v>
      </c>
      <c r="O112" s="1374">
        <f>+O109/(O111*1000)</f>
        <v>3.7286384976525838E-2</v>
      </c>
      <c r="P112" s="1374">
        <f>+P109/(P111*1000)</f>
        <v>6.7019230769230775E-2</v>
      </c>
      <c r="Q112" s="1374">
        <f>+Q109/(Q111*1000)</f>
        <v>6.7987953080418467E-2</v>
      </c>
    </row>
    <row r="113" spans="3:27">
      <c r="D113" s="42"/>
      <c r="E113" s="42"/>
      <c r="F113" s="42"/>
      <c r="G113" s="42"/>
      <c r="H113" s="42"/>
      <c r="I113" s="42"/>
      <c r="J113" s="42"/>
      <c r="K113" s="615"/>
      <c r="L113" s="615"/>
      <c r="M113" s="615"/>
    </row>
    <row r="115" spans="3:27">
      <c r="C115" s="11" t="s">
        <v>1584</v>
      </c>
    </row>
    <row r="116" spans="3:27">
      <c r="D116" s="39">
        <v>2016</v>
      </c>
      <c r="E116" s="39">
        <v>2017</v>
      </c>
      <c r="F116" s="39">
        <v>2018</v>
      </c>
      <c r="G116" s="39">
        <v>2019</v>
      </c>
      <c r="H116" s="39">
        <v>2020</v>
      </c>
      <c r="I116" s="39">
        <v>2021</v>
      </c>
      <c r="J116" s="39">
        <v>2022</v>
      </c>
      <c r="K116" s="380">
        <v>2023</v>
      </c>
      <c r="L116" s="380">
        <v>2024</v>
      </c>
      <c r="M116" s="469"/>
    </row>
    <row r="117" spans="3:27">
      <c r="C117" s="46" t="s">
        <v>129</v>
      </c>
      <c r="D117" s="318">
        <v>-1203.5999999999999</v>
      </c>
      <c r="E117" s="318">
        <v>1467.5</v>
      </c>
      <c r="F117" s="318">
        <v>252.9</v>
      </c>
      <c r="G117" s="318">
        <v>1716</v>
      </c>
      <c r="H117" s="318">
        <v>313.10000000000002</v>
      </c>
      <c r="I117" s="318">
        <v>3445</v>
      </c>
      <c r="J117" s="318">
        <v>-1733.9</v>
      </c>
      <c r="K117" s="1229">
        <v>1950</v>
      </c>
      <c r="L117" s="1229">
        <v>1067</v>
      </c>
      <c r="M117" s="429"/>
      <c r="P117" s="11" t="s">
        <v>43</v>
      </c>
    </row>
    <row r="118" spans="3:27">
      <c r="C118" s="46" t="s">
        <v>878</v>
      </c>
      <c r="D118" s="318">
        <v>0</v>
      </c>
      <c r="E118" s="318">
        <v>1018.6</v>
      </c>
      <c r="F118" s="318">
        <v>0</v>
      </c>
      <c r="G118" s="318">
        <v>0</v>
      </c>
      <c r="H118" s="318">
        <v>117.1</v>
      </c>
      <c r="I118" s="318">
        <v>264</v>
      </c>
      <c r="J118" s="318">
        <v>1219.7</v>
      </c>
      <c r="K118" s="1229">
        <f>259.1+290</f>
        <v>549.1</v>
      </c>
      <c r="L118" s="1229">
        <v>0</v>
      </c>
      <c r="M118" s="429"/>
      <c r="P118" s="814" t="s">
        <v>1587</v>
      </c>
      <c r="T118" s="39">
        <v>2018</v>
      </c>
      <c r="U118" s="39">
        <v>2019</v>
      </c>
      <c r="V118" s="39">
        <v>2020</v>
      </c>
      <c r="W118" s="39">
        <v>2021</v>
      </c>
      <c r="X118" s="39">
        <v>2022</v>
      </c>
      <c r="Y118" s="39">
        <v>2023</v>
      </c>
      <c r="Z118" s="829">
        <v>2024</v>
      </c>
      <c r="AA118" s="981">
        <v>2025</v>
      </c>
    </row>
    <row r="119" spans="3:27">
      <c r="C119" s="46" t="s">
        <v>877</v>
      </c>
      <c r="D119" s="46">
        <v>0</v>
      </c>
      <c r="E119" s="46">
        <v>-29</v>
      </c>
      <c r="F119" s="46">
        <v>-59</v>
      </c>
      <c r="G119" s="46">
        <v>-24</v>
      </c>
      <c r="H119" s="46">
        <v>0</v>
      </c>
      <c r="I119" s="46">
        <v>0</v>
      </c>
      <c r="J119" s="46">
        <v>0</v>
      </c>
      <c r="K119" s="46">
        <v>0</v>
      </c>
      <c r="L119" s="46">
        <v>0</v>
      </c>
      <c r="P119" s="50" t="s">
        <v>1454</v>
      </c>
      <c r="Q119" s="63"/>
      <c r="R119" s="63"/>
      <c r="S119" s="28"/>
      <c r="T119" s="869">
        <v>0.97299999999999998</v>
      </c>
      <c r="U119" s="869">
        <v>0.96899999999999997</v>
      </c>
      <c r="V119" s="869">
        <v>0.97799999999999998</v>
      </c>
      <c r="W119" s="869">
        <v>0.95</v>
      </c>
      <c r="X119" s="869">
        <v>0.94699999999999995</v>
      </c>
      <c r="Y119" s="869">
        <v>0.93200000000000005</v>
      </c>
      <c r="Z119" s="1250">
        <v>0.95</v>
      </c>
      <c r="AA119" s="809">
        <v>0.95</v>
      </c>
    </row>
    <row r="120" spans="3:27">
      <c r="C120" s="1369" t="s">
        <v>1580</v>
      </c>
      <c r="D120" s="994">
        <f t="shared" ref="D120:K120" si="38">SUM(D117:D119)</f>
        <v>-1203.5999999999999</v>
      </c>
      <c r="E120" s="994">
        <f t="shared" si="38"/>
        <v>2457.1</v>
      </c>
      <c r="F120" s="994">
        <f t="shared" si="38"/>
        <v>193.9</v>
      </c>
      <c r="G120" s="994">
        <f t="shared" si="38"/>
        <v>1692</v>
      </c>
      <c r="H120" s="994">
        <f t="shared" si="38"/>
        <v>430.20000000000005</v>
      </c>
      <c r="I120" s="994">
        <f t="shared" si="38"/>
        <v>3709</v>
      </c>
      <c r="J120" s="994">
        <f t="shared" si="38"/>
        <v>-514.20000000000005</v>
      </c>
      <c r="K120" s="994">
        <f t="shared" si="38"/>
        <v>2499.1</v>
      </c>
      <c r="L120" s="994">
        <f t="shared" ref="L120" si="39">SUM(L117:L119)</f>
        <v>1067</v>
      </c>
      <c r="P120" s="50" t="s">
        <v>1455</v>
      </c>
      <c r="Q120" s="63"/>
      <c r="R120" s="63"/>
      <c r="S120" s="28"/>
      <c r="T120" s="869">
        <v>2.4809278350515468E-2</v>
      </c>
      <c r="U120" s="869">
        <v>8.5012853470437008E-2</v>
      </c>
      <c r="V120" s="869">
        <v>1.1961070559610714E-2</v>
      </c>
      <c r="W120" s="869">
        <v>0.11815800415800415</v>
      </c>
      <c r="X120" s="869">
        <v>2.535115207373272E-2</v>
      </c>
      <c r="Y120" s="869">
        <v>9.6126725428238816E-2</v>
      </c>
      <c r="Z120" s="1250">
        <v>7.0999999999999994E-2</v>
      </c>
      <c r="AA120" s="809">
        <v>7.0000000000000007E-2</v>
      </c>
    </row>
    <row r="121" spans="3:27">
      <c r="P121" s="50" t="s">
        <v>1244</v>
      </c>
      <c r="Q121" s="63"/>
      <c r="R121" s="63"/>
      <c r="S121" s="28"/>
      <c r="T121" s="869">
        <v>2.7278911564625849E-2</v>
      </c>
      <c r="U121" s="869">
        <v>0.15860566448801741</v>
      </c>
      <c r="V121" s="869">
        <v>1.3672199170124482E-2</v>
      </c>
      <c r="W121" s="869">
        <v>0.23323715058611363</v>
      </c>
      <c r="X121" s="869">
        <v>7.2335143522110165E-2</v>
      </c>
      <c r="Y121" s="869">
        <v>0.21955904901217815</v>
      </c>
      <c r="Z121" s="1250">
        <v>0.153</v>
      </c>
      <c r="AA121" s="809">
        <v>0.14000000000000001</v>
      </c>
    </row>
    <row r="122" spans="3:27">
      <c r="C122" s="11"/>
    </row>
    <row r="123" spans="3:27">
      <c r="C123" s="11" t="s">
        <v>2143</v>
      </c>
      <c r="L123" s="2"/>
      <c r="N123" s="1819">
        <v>45838</v>
      </c>
      <c r="O123" s="636"/>
      <c r="P123" s="11" t="s">
        <v>1456</v>
      </c>
    </row>
    <row r="124" spans="3:27">
      <c r="C124" s="46"/>
      <c r="D124" s="39">
        <v>2016</v>
      </c>
      <c r="E124" s="39">
        <v>2017</v>
      </c>
      <c r="F124" s="39">
        <v>2018</v>
      </c>
      <c r="G124" s="39" t="s">
        <v>1695</v>
      </c>
      <c r="H124" s="39">
        <v>2020</v>
      </c>
      <c r="I124" s="39">
        <v>2021</v>
      </c>
      <c r="J124" s="39">
        <v>2022</v>
      </c>
      <c r="K124" s="380">
        <v>2023</v>
      </c>
      <c r="L124" s="39">
        <v>2024</v>
      </c>
      <c r="N124" s="41">
        <v>2025</v>
      </c>
      <c r="P124" s="50" t="s">
        <v>1454</v>
      </c>
      <c r="Q124" s="63"/>
      <c r="R124" s="63"/>
      <c r="S124" s="28"/>
      <c r="T124" s="1249">
        <v>0.96299999999999997</v>
      </c>
    </row>
    <row r="125" spans="3:27">
      <c r="C125" s="46" t="s">
        <v>1582</v>
      </c>
      <c r="D125" s="318">
        <f>4436.2-1514.8</f>
        <v>2921.3999999999996</v>
      </c>
      <c r="E125" s="318">
        <v>5219</v>
      </c>
      <c r="F125" s="318">
        <v>4608</v>
      </c>
      <c r="G125" s="318">
        <v>4022.9</v>
      </c>
      <c r="H125" s="318">
        <v>4486</v>
      </c>
      <c r="I125" s="318">
        <v>6246</v>
      </c>
      <c r="J125" s="318">
        <v>7747</v>
      </c>
      <c r="K125" s="318">
        <v>9617</v>
      </c>
      <c r="L125" s="318">
        <v>11583</v>
      </c>
      <c r="P125" s="50" t="s">
        <v>1455</v>
      </c>
      <c r="Q125" s="63"/>
      <c r="R125" s="63"/>
      <c r="S125" s="28"/>
      <c r="T125" s="1249">
        <v>5.2999999999999999E-2</v>
      </c>
    </row>
    <row r="126" spans="3:27">
      <c r="C126" s="46" t="s">
        <v>1583</v>
      </c>
      <c r="D126" s="318">
        <f>3434.5-940.5</f>
        <v>2494</v>
      </c>
      <c r="E126" s="318">
        <v>4058</v>
      </c>
      <c r="F126" s="318">
        <v>4707</v>
      </c>
      <c r="G126" s="318">
        <v>4005.1000000000004</v>
      </c>
      <c r="H126" s="318">
        <v>5148</v>
      </c>
      <c r="I126" s="318">
        <v>5900</v>
      </c>
      <c r="J126" s="318">
        <v>7507</v>
      </c>
      <c r="K126" s="318">
        <v>8611</v>
      </c>
      <c r="L126" s="318">
        <v>10103</v>
      </c>
      <c r="P126" s="50" t="s">
        <v>1244</v>
      </c>
      <c r="Q126" s="63"/>
      <c r="R126" s="63"/>
      <c r="S126" s="28"/>
      <c r="T126" s="1249">
        <v>0.10099999999999999</v>
      </c>
    </row>
    <row r="127" spans="3:27">
      <c r="C127" s="438" t="s">
        <v>1138</v>
      </c>
      <c r="D127" s="719">
        <f>+D125-D126</f>
        <v>427.39999999999964</v>
      </c>
      <c r="E127" s="719">
        <f>+E125-E126</f>
        <v>1161</v>
      </c>
      <c r="F127" s="719">
        <f>+F125-F126</f>
        <v>-99</v>
      </c>
      <c r="G127" s="719">
        <f>+G125-G126</f>
        <v>17.799999999999727</v>
      </c>
      <c r="H127" s="719">
        <f>+H125-H126</f>
        <v>-662</v>
      </c>
      <c r="I127" s="719">
        <f t="shared" ref="I127:K127" si="40">+I125-I126</f>
        <v>346</v>
      </c>
      <c r="J127" s="719">
        <f t="shared" si="40"/>
        <v>240</v>
      </c>
      <c r="K127" s="719">
        <f t="shared" si="40"/>
        <v>1006</v>
      </c>
      <c r="L127" s="719">
        <f>+L125-L126</f>
        <v>1480</v>
      </c>
      <c r="N127" s="42"/>
      <c r="O127" s="42"/>
      <c r="P127" s="42"/>
      <c r="Q127" s="42"/>
      <c r="R127" s="42"/>
      <c r="S127" s="42"/>
      <c r="T127" s="42"/>
      <c r="U127" s="42"/>
    </row>
    <row r="128" spans="3:27">
      <c r="C128" s="1369" t="s">
        <v>1754</v>
      </c>
      <c r="D128" s="994">
        <v>78</v>
      </c>
      <c r="E128" s="994">
        <f>+E127-D127</f>
        <v>733.60000000000036</v>
      </c>
      <c r="F128" s="994">
        <f>+F127-E127</f>
        <v>-1260</v>
      </c>
      <c r="G128" s="994">
        <f t="shared" ref="G128:K128" si="41">+G127-F127</f>
        <v>116.79999999999973</v>
      </c>
      <c r="H128" s="994">
        <f t="shared" si="41"/>
        <v>-679.79999999999973</v>
      </c>
      <c r="I128" s="994">
        <f t="shared" si="41"/>
        <v>1008</v>
      </c>
      <c r="J128" s="994">
        <f t="shared" si="41"/>
        <v>-106</v>
      </c>
      <c r="K128" s="994">
        <f t="shared" si="41"/>
        <v>766</v>
      </c>
      <c r="L128" s="994">
        <f>+L127-K127</f>
        <v>474</v>
      </c>
      <c r="N128" s="42"/>
      <c r="O128" s="42"/>
      <c r="P128" s="42"/>
      <c r="Q128" s="42"/>
      <c r="R128" s="42"/>
      <c r="S128" s="42"/>
      <c r="T128" s="42"/>
      <c r="U128" s="42"/>
    </row>
    <row r="129" spans="3:17">
      <c r="C129" s="282" t="s">
        <v>1717</v>
      </c>
    </row>
    <row r="133" spans="3:17">
      <c r="C133" s="1" t="s">
        <v>1585</v>
      </c>
      <c r="J133" s="25"/>
      <c r="K133" s="615"/>
      <c r="M133" s="615"/>
      <c r="N133" s="1630">
        <v>2025</v>
      </c>
    </row>
    <row r="134" spans="3:17">
      <c r="C134" t="s">
        <v>1873</v>
      </c>
      <c r="D134" s="40">
        <v>2016</v>
      </c>
      <c r="E134" s="40">
        <v>2017</v>
      </c>
      <c r="F134" s="40">
        <v>2018</v>
      </c>
      <c r="G134" s="40">
        <v>2019</v>
      </c>
      <c r="H134" s="40">
        <v>2020</v>
      </c>
      <c r="I134" s="40">
        <v>2021</v>
      </c>
      <c r="J134" s="40">
        <v>2022</v>
      </c>
      <c r="K134" s="380">
        <v>2023</v>
      </c>
      <c r="L134" s="380">
        <v>2024</v>
      </c>
      <c r="M134" s="615"/>
      <c r="N134" s="1631" t="s">
        <v>923</v>
      </c>
    </row>
    <row r="135" spans="3:17">
      <c r="C135" s="46" t="s">
        <v>1720</v>
      </c>
      <c r="D135" s="1021">
        <v>28.4</v>
      </c>
      <c r="E135" s="1021">
        <v>39.299999999999997</v>
      </c>
      <c r="F135" s="1021">
        <v>38.799999999999997</v>
      </c>
      <c r="G135" s="1021">
        <v>39</v>
      </c>
      <c r="H135" s="1021">
        <v>43.2</v>
      </c>
      <c r="I135" s="1021">
        <v>53</v>
      </c>
      <c r="J135" s="1021">
        <v>55.5</v>
      </c>
      <c r="K135" s="1021">
        <v>64.760000000000005</v>
      </c>
      <c r="L135" s="1021">
        <f>+L77</f>
        <v>69</v>
      </c>
      <c r="M135" s="899"/>
      <c r="N135" s="1632">
        <v>69</v>
      </c>
    </row>
    <row r="136" spans="3:17">
      <c r="C136" s="116" t="s">
        <v>1586</v>
      </c>
      <c r="D136" s="335">
        <f t="shared" ref="D136:K136" si="42">+D135/D139*1000</f>
        <v>1229.4372294372292</v>
      </c>
      <c r="E136" s="335">
        <f t="shared" si="42"/>
        <v>1416.2162162162163</v>
      </c>
      <c r="F136" s="335">
        <f t="shared" si="42"/>
        <v>1426.4705882352941</v>
      </c>
      <c r="G136" s="335">
        <f t="shared" si="42"/>
        <v>1455.2238805970148</v>
      </c>
      <c r="H136" s="335">
        <f t="shared" si="42"/>
        <v>1648.8549618320612</v>
      </c>
      <c r="I136" s="335">
        <f t="shared" si="42"/>
        <v>2217.5732217573227</v>
      </c>
      <c r="J136" s="335">
        <f t="shared" si="42"/>
        <v>2381.9742489270384</v>
      </c>
      <c r="K136" s="335">
        <f t="shared" si="42"/>
        <v>2815.6521739130435</v>
      </c>
      <c r="L136" s="318">
        <f t="shared" ref="L136" si="43">+L135/L139*1000</f>
        <v>3179.7235023041476</v>
      </c>
      <c r="M136" s="53"/>
      <c r="N136" s="1426">
        <f>+N135/N139*1000</f>
        <v>3209.3023255813951</v>
      </c>
    </row>
    <row r="137" spans="3:17">
      <c r="C137" s="1370" t="s">
        <v>1938</v>
      </c>
      <c r="D137" s="1376"/>
      <c r="E137" s="1376"/>
      <c r="F137" s="1376"/>
      <c r="G137" s="1376"/>
      <c r="H137" s="1376"/>
      <c r="I137" s="1376"/>
      <c r="J137" s="1376"/>
      <c r="K137" s="1635"/>
      <c r="L137" s="1635">
        <v>0.126</v>
      </c>
      <c r="M137" s="278"/>
      <c r="N137" s="1633" t="e">
        <f>(+N136-M136)/M136</f>
        <v>#DIV/0!</v>
      </c>
    </row>
    <row r="139" spans="3:17">
      <c r="C139" s="50" t="s">
        <v>1939</v>
      </c>
      <c r="D139" s="45">
        <v>23.1</v>
      </c>
      <c r="E139" s="45">
        <v>27.75</v>
      </c>
      <c r="F139" s="45">
        <v>27.2</v>
      </c>
      <c r="G139" s="45">
        <v>26.8</v>
      </c>
      <c r="H139" s="45">
        <v>26.2</v>
      </c>
      <c r="I139" s="45">
        <v>23.9</v>
      </c>
      <c r="J139" s="45">
        <v>23.3</v>
      </c>
      <c r="K139" s="1375">
        <v>23</v>
      </c>
      <c r="L139" s="1375">
        <v>21.7</v>
      </c>
      <c r="M139" s="104"/>
      <c r="N139" s="1634">
        <v>21.5</v>
      </c>
    </row>
    <row r="141" spans="3:17">
      <c r="J141" s="364"/>
      <c r="K141" s="364"/>
    </row>
    <row r="142" spans="3:17">
      <c r="C142" s="1" t="s">
        <v>1546</v>
      </c>
      <c r="J142" s="2091" t="s">
        <v>1531</v>
      </c>
      <c r="K142" s="2092"/>
      <c r="N142" s="25"/>
      <c r="O142" s="615"/>
      <c r="P142" s="2136" t="s">
        <v>1533</v>
      </c>
      <c r="Q142" s="2137"/>
    </row>
    <row r="143" spans="3:17">
      <c r="C143" t="s">
        <v>1552</v>
      </c>
      <c r="D143" s="40">
        <v>2016</v>
      </c>
      <c r="E143" s="40">
        <v>2017</v>
      </c>
      <c r="F143" s="40">
        <v>2018</v>
      </c>
      <c r="G143" s="40">
        <v>2019</v>
      </c>
      <c r="H143" s="40">
        <v>2020</v>
      </c>
      <c r="I143" s="151">
        <v>2021</v>
      </c>
      <c r="J143" s="1090" t="s">
        <v>984</v>
      </c>
      <c r="K143" s="1090" t="s">
        <v>39</v>
      </c>
      <c r="N143" s="40">
        <v>2022</v>
      </c>
      <c r="O143" s="1327">
        <v>2023</v>
      </c>
      <c r="P143" s="1328" t="s">
        <v>984</v>
      </c>
      <c r="Q143" s="1222" t="s">
        <v>39</v>
      </c>
    </row>
    <row r="144" spans="3:17">
      <c r="C144" s="46" t="s">
        <v>1535</v>
      </c>
      <c r="D144" s="318">
        <f>390.8+185.1</f>
        <v>575.9</v>
      </c>
      <c r="E144" s="318">
        <f>+-848.9+207.4</f>
        <v>-641.5</v>
      </c>
      <c r="F144" s="318">
        <f>75.9+242.9</f>
        <v>318.8</v>
      </c>
      <c r="G144" s="318">
        <f>130.3+264.2</f>
        <v>394.5</v>
      </c>
      <c r="H144" s="318">
        <f>100.9+208.1</f>
        <v>309</v>
      </c>
      <c r="I144" s="318">
        <f>492+309</f>
        <v>801</v>
      </c>
      <c r="J144" s="719">
        <f>(+D144+E144+F144+G144+H144+I144)/6</f>
        <v>292.95</v>
      </c>
      <c r="K144" s="732">
        <f>+J144/$J$146</f>
        <v>0.11746583352825209</v>
      </c>
      <c r="N144" s="318">
        <v>1105.3</v>
      </c>
      <c r="O144" s="1229">
        <v>1522.2</v>
      </c>
      <c r="P144" s="1329">
        <v>1243</v>
      </c>
      <c r="Q144" s="1330">
        <f>+P144/$P$146</f>
        <v>0.16920773209910156</v>
      </c>
    </row>
    <row r="145" spans="2:22">
      <c r="C145" s="46" t="s">
        <v>1536</v>
      </c>
      <c r="D145" s="318">
        <f>+D157</f>
        <v>-520.99999999999977</v>
      </c>
      <c r="E145" s="318">
        <f t="shared" ref="E145:J145" si="44">+E157</f>
        <v>3282.2</v>
      </c>
      <c r="F145" s="318">
        <f t="shared" si="44"/>
        <v>962.60000000000014</v>
      </c>
      <c r="G145" s="318">
        <f t="shared" si="44"/>
        <v>3306.9999999999995</v>
      </c>
      <c r="H145" s="318">
        <f t="shared" si="44"/>
        <v>491.60000000000036</v>
      </c>
      <c r="I145" s="318">
        <f t="shared" si="44"/>
        <v>5683.4</v>
      </c>
      <c r="J145" s="719">
        <f t="shared" si="44"/>
        <v>2200.9666666666667</v>
      </c>
      <c r="K145" s="732">
        <f t="shared" ref="K145:K146" si="45">+J145/$J$146</f>
        <v>0.88253416647174798</v>
      </c>
      <c r="N145" s="318">
        <f>+N157</f>
        <v>1375.3</v>
      </c>
      <c r="O145" s="318">
        <f t="shared" ref="O145:P145" si="46">+O157</f>
        <v>5780.1</v>
      </c>
      <c r="P145" s="765">
        <f t="shared" si="46"/>
        <v>6103</v>
      </c>
      <c r="Q145" s="1330">
        <f>+P145/$P$146</f>
        <v>0.83079226790089844</v>
      </c>
    </row>
    <row r="146" spans="2:22" s="11" customFormat="1">
      <c r="B146" s="42"/>
      <c r="C146" s="47" t="s">
        <v>1534</v>
      </c>
      <c r="D146" s="336">
        <f>SUM(D144:D145)</f>
        <v>54.900000000000205</v>
      </c>
      <c r="E146" s="336">
        <f t="shared" ref="E146:J146" si="47">SUM(E144:E145)</f>
        <v>2640.7</v>
      </c>
      <c r="F146" s="336">
        <f t="shared" si="47"/>
        <v>1281.4000000000001</v>
      </c>
      <c r="G146" s="336">
        <f t="shared" si="47"/>
        <v>3701.4999999999995</v>
      </c>
      <c r="H146" s="336">
        <f t="shared" si="47"/>
        <v>800.60000000000036</v>
      </c>
      <c r="I146" s="336">
        <f t="shared" si="47"/>
        <v>6484.4</v>
      </c>
      <c r="J146" s="793">
        <f t="shared" si="47"/>
        <v>2493.9166666666665</v>
      </c>
      <c r="K146" s="1313">
        <f t="shared" si="45"/>
        <v>1</v>
      </c>
      <c r="N146" s="336">
        <f>SUM(N144:N145)</f>
        <v>2480.6</v>
      </c>
      <c r="O146" s="336">
        <f>SUM(O144:O145)</f>
        <v>7302.3</v>
      </c>
      <c r="P146" s="1331">
        <f>SUM(P144:P145)</f>
        <v>7346</v>
      </c>
      <c r="Q146" s="1318">
        <f>+P146/$P$146</f>
        <v>1</v>
      </c>
    </row>
    <row r="147" spans="2:22" s="11" customFormat="1">
      <c r="R147" s="469"/>
      <c r="S147" s="1326"/>
    </row>
    <row r="148" spans="2:22" s="11" customFormat="1">
      <c r="R148" s="469"/>
      <c r="S148" s="1326"/>
    </row>
    <row r="149" spans="2:22" s="11" customFormat="1">
      <c r="C149" s="11" t="s">
        <v>1543</v>
      </c>
      <c r="J149" s="2091" t="s">
        <v>1531</v>
      </c>
      <c r="K149" s="2092"/>
      <c r="R149" s="469"/>
      <c r="S149" s="1326"/>
    </row>
    <row r="150" spans="2:22" s="11" customFormat="1">
      <c r="C150" t="s">
        <v>1552</v>
      </c>
      <c r="D150" s="40">
        <v>2016</v>
      </c>
      <c r="E150" s="40">
        <v>2017</v>
      </c>
      <c r="F150" s="40">
        <v>2018</v>
      </c>
      <c r="G150" s="40">
        <v>2019</v>
      </c>
      <c r="H150" s="40">
        <v>2020</v>
      </c>
      <c r="I150" s="151">
        <v>2021</v>
      </c>
      <c r="J150" s="1090" t="s">
        <v>984</v>
      </c>
      <c r="K150" s="1090" t="s">
        <v>39</v>
      </c>
      <c r="R150" s="469"/>
      <c r="S150" s="1326"/>
    </row>
    <row r="151" spans="2:22">
      <c r="B151" s="1033">
        <v>1</v>
      </c>
      <c r="C151" s="208" t="s">
        <v>1937</v>
      </c>
      <c r="D151" s="405">
        <v>555.20000000000005</v>
      </c>
      <c r="E151" s="405">
        <v>559</v>
      </c>
      <c r="F151" s="405">
        <v>783.5</v>
      </c>
      <c r="G151" s="405">
        <v>880.2</v>
      </c>
      <c r="H151" s="405">
        <v>769.2</v>
      </c>
      <c r="I151" s="405">
        <v>641</v>
      </c>
      <c r="J151" s="405">
        <f>(+D151+E151+F151+G151+H151+I151)/6</f>
        <v>698.01666666666677</v>
      </c>
      <c r="K151" s="1166">
        <f>+J151/$J$157</f>
        <v>0.31714095321752567</v>
      </c>
      <c r="N151" s="318">
        <v>961.8</v>
      </c>
      <c r="O151" s="1229">
        <v>1896</v>
      </c>
      <c r="P151" s="1329">
        <v>2408</v>
      </c>
      <c r="Q151" s="1330">
        <f t="shared" ref="Q151:Q157" si="48">+P151/$P$157</f>
        <v>0.39456005243322956</v>
      </c>
    </row>
    <row r="152" spans="2:22">
      <c r="B152" s="45">
        <v>2</v>
      </c>
      <c r="C152" s="46" t="s">
        <v>841</v>
      </c>
      <c r="D152" s="318">
        <v>24.2</v>
      </c>
      <c r="E152" s="318">
        <v>200.5</v>
      </c>
      <c r="F152" s="318">
        <v>221.1</v>
      </c>
      <c r="G152" s="318">
        <v>169.6</v>
      </c>
      <c r="H152" s="318">
        <v>-112.8</v>
      </c>
      <c r="I152" s="318">
        <v>402</v>
      </c>
      <c r="J152" s="719">
        <f>(+D152+E152+F152+G152+H152+I152)/6</f>
        <v>150.76666666666665</v>
      </c>
      <c r="K152" s="732">
        <f t="shared" ref="K152:K157" si="49">+J152/$J$157</f>
        <v>6.8500204455617983E-2</v>
      </c>
      <c r="N152" s="318">
        <v>1014.7</v>
      </c>
      <c r="O152" s="1229">
        <v>1022</v>
      </c>
      <c r="P152" s="1329">
        <v>855</v>
      </c>
      <c r="Q152" s="1330">
        <f t="shared" si="48"/>
        <v>0.14009503522857611</v>
      </c>
    </row>
    <row r="153" spans="2:22">
      <c r="B153" s="45">
        <v>3</v>
      </c>
      <c r="C153" s="46" t="s">
        <v>1537</v>
      </c>
      <c r="D153" s="318">
        <v>103.2</v>
      </c>
      <c r="E153" s="318">
        <v>261.60000000000002</v>
      </c>
      <c r="F153" s="318">
        <v>263.7</v>
      </c>
      <c r="G153" s="318">
        <v>103.9</v>
      </c>
      <c r="H153" s="318">
        <v>-139.30000000000001</v>
      </c>
      <c r="I153" s="318">
        <v>71</v>
      </c>
      <c r="J153" s="719">
        <f t="shared" ref="J153:J157" si="50">(+D153+E153+F153+G153+H153+I153)/6</f>
        <v>110.68333333333332</v>
      </c>
      <c r="K153" s="732">
        <f t="shared" si="49"/>
        <v>5.0288509594269178E-2</v>
      </c>
      <c r="N153" s="318">
        <v>61</v>
      </c>
      <c r="O153" s="1229">
        <v>46</v>
      </c>
      <c r="P153" s="1329">
        <v>170</v>
      </c>
      <c r="Q153" s="1330">
        <f t="shared" si="48"/>
        <v>2.7855153203342618E-2</v>
      </c>
    </row>
    <row r="154" spans="2:22">
      <c r="B154" s="45">
        <v>4</v>
      </c>
      <c r="C154" s="46" t="s">
        <v>129</v>
      </c>
      <c r="D154" s="318">
        <v>-1203.5999999999999</v>
      </c>
      <c r="E154" s="318">
        <v>1467.5</v>
      </c>
      <c r="F154" s="318">
        <v>252.9</v>
      </c>
      <c r="G154" s="318">
        <v>1716</v>
      </c>
      <c r="H154" s="318">
        <v>313.10000000000002</v>
      </c>
      <c r="I154" s="318">
        <v>3445</v>
      </c>
      <c r="J154" s="719">
        <f t="shared" si="50"/>
        <v>998.48333333333323</v>
      </c>
      <c r="K154" s="732">
        <f t="shared" si="49"/>
        <v>0.45365672658983169</v>
      </c>
      <c r="N154" s="318">
        <v>-1733.9</v>
      </c>
      <c r="O154" s="1229">
        <v>1950</v>
      </c>
      <c r="P154" s="1329">
        <v>1570</v>
      </c>
      <c r="Q154" s="1330">
        <f t="shared" si="48"/>
        <v>0.2572505325249877</v>
      </c>
    </row>
    <row r="155" spans="2:22" s="11" customFormat="1">
      <c r="B155" s="45">
        <v>5</v>
      </c>
      <c r="C155" s="46" t="s">
        <v>1538</v>
      </c>
      <c r="D155" s="318">
        <v>0</v>
      </c>
      <c r="E155" s="318">
        <v>1018.6</v>
      </c>
      <c r="F155" s="318">
        <v>0</v>
      </c>
      <c r="G155" s="318">
        <v>0</v>
      </c>
      <c r="H155" s="318">
        <v>117.1</v>
      </c>
      <c r="I155" s="318">
        <v>264</v>
      </c>
      <c r="J155" s="719">
        <f t="shared" si="50"/>
        <v>233.28333333333333</v>
      </c>
      <c r="K155" s="732">
        <f t="shared" si="49"/>
        <v>0.10599130685002044</v>
      </c>
      <c r="N155" s="318">
        <v>1219.7</v>
      </c>
      <c r="O155" s="1229">
        <f>259.1+290</f>
        <v>549.1</v>
      </c>
      <c r="P155" s="1329">
        <v>500</v>
      </c>
      <c r="Q155" s="1330">
        <f t="shared" si="48"/>
        <v>8.1926921186301821E-2</v>
      </c>
    </row>
    <row r="156" spans="2:22">
      <c r="B156" s="45">
        <v>6</v>
      </c>
      <c r="C156" s="46" t="s">
        <v>1140</v>
      </c>
      <c r="D156" s="318"/>
      <c r="E156" s="318">
        <v>-225</v>
      </c>
      <c r="F156" s="318">
        <v>-558.59999999999991</v>
      </c>
      <c r="G156" s="318">
        <v>437.29999999999973</v>
      </c>
      <c r="H156" s="318">
        <v>-455.69999999999982</v>
      </c>
      <c r="I156" s="318">
        <v>860.40000000000009</v>
      </c>
      <c r="J156" s="719">
        <f t="shared" si="50"/>
        <v>9.7333333333333485</v>
      </c>
      <c r="K156" s="732">
        <f t="shared" si="49"/>
        <v>4.422299292735017E-3</v>
      </c>
      <c r="N156" s="318">
        <v>-148</v>
      </c>
      <c r="O156" s="1229">
        <v>317</v>
      </c>
      <c r="P156" s="1329">
        <v>600</v>
      </c>
      <c r="Q156" s="1330">
        <f t="shared" si="48"/>
        <v>9.8312305423562188E-2</v>
      </c>
      <c r="R156" s="53"/>
      <c r="S156" s="492"/>
    </row>
    <row r="157" spans="2:22" s="11" customFormat="1">
      <c r="B157" s="42"/>
      <c r="C157" s="47" t="s">
        <v>1536</v>
      </c>
      <c r="D157" s="336">
        <f>SUM(D151:D156)</f>
        <v>-520.99999999999977</v>
      </c>
      <c r="E157" s="336">
        <f t="shared" ref="E157:I157" si="51">SUM(E151:E156)</f>
        <v>3282.2</v>
      </c>
      <c r="F157" s="336">
        <f t="shared" si="51"/>
        <v>962.60000000000014</v>
      </c>
      <c r="G157" s="336">
        <f t="shared" si="51"/>
        <v>3306.9999999999995</v>
      </c>
      <c r="H157" s="336">
        <f t="shared" si="51"/>
        <v>491.60000000000036</v>
      </c>
      <c r="I157" s="336">
        <f t="shared" si="51"/>
        <v>5683.4</v>
      </c>
      <c r="J157" s="793">
        <f t="shared" si="50"/>
        <v>2200.9666666666667</v>
      </c>
      <c r="K157" s="1313">
        <f t="shared" si="49"/>
        <v>1</v>
      </c>
      <c r="N157" s="336">
        <f>SUM(N151:N156)</f>
        <v>1375.3</v>
      </c>
      <c r="O157" s="336">
        <f t="shared" ref="O157:P157" si="52">SUM(O151:O156)</f>
        <v>5780.1</v>
      </c>
      <c r="P157" s="1331">
        <f t="shared" si="52"/>
        <v>6103</v>
      </c>
      <c r="Q157" s="1318">
        <f t="shared" si="48"/>
        <v>1</v>
      </c>
    </row>
    <row r="160" spans="2:22">
      <c r="C160" s="11" t="s">
        <v>1550</v>
      </c>
      <c r="J160" s="2091" t="s">
        <v>1531</v>
      </c>
      <c r="K160" s="2092"/>
      <c r="M160" t="s">
        <v>1547</v>
      </c>
      <c r="P160" s="2136" t="s">
        <v>1533</v>
      </c>
      <c r="Q160" s="2137"/>
      <c r="S160" s="25"/>
      <c r="T160" s="615"/>
      <c r="U160" s="1332" t="s">
        <v>1533</v>
      </c>
      <c r="V160" s="1333"/>
    </row>
    <row r="161" spans="3:22">
      <c r="C161" t="s">
        <v>1552</v>
      </c>
      <c r="D161" s="40">
        <v>2016</v>
      </c>
      <c r="E161" s="40">
        <v>2017</v>
      </c>
      <c r="F161" s="40">
        <v>2018</v>
      </c>
      <c r="G161" s="40">
        <v>2019</v>
      </c>
      <c r="H161" s="40">
        <v>2020</v>
      </c>
      <c r="I161" s="151">
        <v>2021</v>
      </c>
      <c r="J161" s="1090" t="s">
        <v>984</v>
      </c>
      <c r="K161" s="1090" t="s">
        <v>39</v>
      </c>
      <c r="M161" t="s">
        <v>39</v>
      </c>
      <c r="P161" s="1328" t="s">
        <v>984</v>
      </c>
      <c r="Q161" s="1222" t="s">
        <v>39</v>
      </c>
      <c r="S161" s="40">
        <v>2022</v>
      </c>
      <c r="T161" s="1327">
        <v>2023</v>
      </c>
      <c r="U161" s="1328" t="s">
        <v>984</v>
      </c>
      <c r="V161" s="1222" t="s">
        <v>39</v>
      </c>
    </row>
    <row r="162" spans="3:22">
      <c r="C162" s="46" t="s">
        <v>1535</v>
      </c>
      <c r="D162" s="318">
        <f>390.8+185.1</f>
        <v>575.9</v>
      </c>
      <c r="E162" s="318">
        <f>+-848.9+207.4</f>
        <v>-641.5</v>
      </c>
      <c r="F162" s="318">
        <f>75.9+242.9</f>
        <v>318.8</v>
      </c>
      <c r="G162" s="318">
        <f>130.3+264.2</f>
        <v>394.5</v>
      </c>
      <c r="H162" s="318">
        <f>100.9+208.1</f>
        <v>309</v>
      </c>
      <c r="I162" s="318">
        <f>492+309</f>
        <v>801</v>
      </c>
      <c r="J162" s="719">
        <f>(+D162+E162+F162+G162+H162+I162)/6</f>
        <v>292.95</v>
      </c>
      <c r="K162" s="732">
        <f>+J162/$J$165</f>
        <v>0.11746583352825209</v>
      </c>
      <c r="M162">
        <v>50</v>
      </c>
      <c r="P162" s="765">
        <f>+P144</f>
        <v>1243</v>
      </c>
      <c r="Q162" s="1330">
        <f>+P162/$P$165</f>
        <v>0.16920773209910156</v>
      </c>
      <c r="S162" s="318">
        <v>1105.3</v>
      </c>
      <c r="T162" s="1229">
        <v>1522.2</v>
      </c>
      <c r="U162" s="1329">
        <v>1243</v>
      </c>
      <c r="V162" s="1330">
        <f>+U162/$P$146</f>
        <v>0.16920773209910156</v>
      </c>
    </row>
    <row r="163" spans="3:22">
      <c r="C163" s="46" t="s">
        <v>1544</v>
      </c>
      <c r="D163" s="318">
        <v>555.20000000000005</v>
      </c>
      <c r="E163" s="318">
        <v>559</v>
      </c>
      <c r="F163" s="318">
        <v>783.5</v>
      </c>
      <c r="G163" s="318">
        <v>880.2</v>
      </c>
      <c r="H163" s="318">
        <v>769.2</v>
      </c>
      <c r="I163" s="318">
        <v>641</v>
      </c>
      <c r="J163" s="719">
        <f>(+D163+E163+F163+G163+H163+I163)/6</f>
        <v>698.01666666666677</v>
      </c>
      <c r="K163" s="732">
        <f t="shared" ref="K163:K164" si="53">+J163/$J$165</f>
        <v>0.27988772680188462</v>
      </c>
      <c r="M163">
        <v>45</v>
      </c>
      <c r="P163" s="765">
        <f>+P151</f>
        <v>2408</v>
      </c>
      <c r="Q163" s="1330">
        <f>+P163/$P$165</f>
        <v>0.32779744078410017</v>
      </c>
      <c r="S163" s="318" t="str">
        <f>+N215</f>
        <v>$</v>
      </c>
      <c r="T163" s="318" t="str">
        <f>+O215</f>
        <v>%</v>
      </c>
      <c r="U163" s="765">
        <f>+P215</f>
        <v>0</v>
      </c>
      <c r="V163" s="1330">
        <f>+U163/$P$146</f>
        <v>0</v>
      </c>
    </row>
    <row r="164" spans="3:22">
      <c r="C164" s="46" t="s">
        <v>1545</v>
      </c>
      <c r="D164" s="318">
        <f>+D152+D153+D154+D155+D156</f>
        <v>-1076.1999999999998</v>
      </c>
      <c r="E164" s="318">
        <f t="shared" ref="E164:I164" si="54">+E152+E153+E154+E155+E156</f>
        <v>2723.2</v>
      </c>
      <c r="F164" s="318">
        <f t="shared" si="54"/>
        <v>179.10000000000002</v>
      </c>
      <c r="G164" s="318">
        <f t="shared" si="54"/>
        <v>2426.7999999999997</v>
      </c>
      <c r="H164" s="318">
        <f t="shared" si="54"/>
        <v>-277.5999999999998</v>
      </c>
      <c r="I164" s="318">
        <f t="shared" si="54"/>
        <v>5042.3999999999996</v>
      </c>
      <c r="J164" s="719">
        <f>(+D164+E164+F164+G164+H164+I164)/6</f>
        <v>1502.9499999999998</v>
      </c>
      <c r="K164" s="732">
        <f t="shared" si="53"/>
        <v>0.60264643966986331</v>
      </c>
      <c r="L164" s="11"/>
      <c r="M164" s="11">
        <v>5</v>
      </c>
      <c r="P164" s="765">
        <f>+P152+P153+P154+P155+P156</f>
        <v>3695</v>
      </c>
      <c r="Q164" s="1330">
        <f>+P164/$P$165</f>
        <v>0.50299482711679822</v>
      </c>
      <c r="S164" s="336">
        <f>SUM(S162:S163)</f>
        <v>1105.3</v>
      </c>
      <c r="T164" s="336">
        <f>SUM(T162:T163)</f>
        <v>1522.2</v>
      </c>
      <c r="U164" s="1331">
        <f>SUM(U162:U163)</f>
        <v>1243</v>
      </c>
      <c r="V164" s="1318">
        <f>+U164/$P$146</f>
        <v>0.16920773209910156</v>
      </c>
    </row>
    <row r="165" spans="3:22">
      <c r="C165" s="47" t="s">
        <v>1534</v>
      </c>
      <c r="D165" s="336">
        <f t="shared" ref="D165:J165" si="55">SUM(D162:D164)</f>
        <v>54.900000000000091</v>
      </c>
      <c r="E165" s="336">
        <f t="shared" si="55"/>
        <v>2640.7</v>
      </c>
      <c r="F165" s="336">
        <f t="shared" si="55"/>
        <v>1281.4000000000001</v>
      </c>
      <c r="G165" s="336">
        <f t="shared" si="55"/>
        <v>3701.5</v>
      </c>
      <c r="H165" s="336">
        <f t="shared" si="55"/>
        <v>800.60000000000025</v>
      </c>
      <c r="I165" s="336">
        <f t="shared" si="55"/>
        <v>6484.4</v>
      </c>
      <c r="J165" s="793">
        <f t="shared" si="55"/>
        <v>2493.9166666666665</v>
      </c>
      <c r="K165" s="1313">
        <f t="shared" ref="K165" si="56">+J165/$J$146</f>
        <v>1</v>
      </c>
      <c r="P165" s="1331">
        <f>SUM(P162:P164)</f>
        <v>7346</v>
      </c>
      <c r="Q165" s="1318">
        <f>+P165/$P$165</f>
        <v>1</v>
      </c>
    </row>
    <row r="168" spans="3:22">
      <c r="C168" s="11" t="s">
        <v>1546</v>
      </c>
    </row>
    <row r="169" spans="3:22">
      <c r="C169" s="11" t="s">
        <v>1551</v>
      </c>
      <c r="D169" s="1090" t="s">
        <v>43</v>
      </c>
      <c r="E169" s="863" t="s">
        <v>1548</v>
      </c>
    </row>
    <row r="170" spans="3:22">
      <c r="C170" t="s">
        <v>1552</v>
      </c>
      <c r="D170" s="1091" t="s">
        <v>1549</v>
      </c>
      <c r="E170" s="1320" t="s">
        <v>1549</v>
      </c>
    </row>
    <row r="171" spans="3:22">
      <c r="C171" s="46" t="s">
        <v>1535</v>
      </c>
      <c r="D171" s="1335">
        <f>+K162</f>
        <v>0.11746583352825209</v>
      </c>
      <c r="E171" s="1336">
        <v>0.5</v>
      </c>
    </row>
    <row r="172" spans="3:22">
      <c r="C172" s="46" t="s">
        <v>1544</v>
      </c>
      <c r="D172" s="732">
        <f>+K163</f>
        <v>0.27988772680188462</v>
      </c>
      <c r="E172" s="737">
        <v>0.45</v>
      </c>
    </row>
    <row r="173" spans="3:22">
      <c r="C173" s="46" t="s">
        <v>1545</v>
      </c>
      <c r="D173" s="732">
        <f>+K164</f>
        <v>0.60264643966986331</v>
      </c>
      <c r="E173" s="737">
        <v>0.05</v>
      </c>
    </row>
    <row r="174" spans="3:22">
      <c r="C174" s="47" t="s">
        <v>1534</v>
      </c>
      <c r="D174" s="1313">
        <f>SUM(D171:D173)</f>
        <v>1</v>
      </c>
      <c r="E174" s="1322">
        <f>SUM(E171:E173)</f>
        <v>1</v>
      </c>
    </row>
    <row r="177" spans="2:10">
      <c r="C177" s="1" t="s">
        <v>1553</v>
      </c>
      <c r="D177" s="2091" t="s">
        <v>1554</v>
      </c>
      <c r="E177" s="2092"/>
      <c r="F177" s="2093" t="s">
        <v>1533</v>
      </c>
      <c r="G177" s="2094"/>
      <c r="I177" s="2129" t="s">
        <v>1555</v>
      </c>
      <c r="J177" s="2129"/>
    </row>
    <row r="178" spans="2:10">
      <c r="C178" t="s">
        <v>1552</v>
      </c>
      <c r="D178" s="829" t="s">
        <v>984</v>
      </c>
      <c r="E178" s="829" t="s">
        <v>39</v>
      </c>
      <c r="F178" s="1222" t="s">
        <v>984</v>
      </c>
      <c r="G178" s="1222" t="s">
        <v>39</v>
      </c>
      <c r="I178" s="39" t="s">
        <v>984</v>
      </c>
      <c r="J178" s="39" t="s">
        <v>39</v>
      </c>
    </row>
    <row r="179" spans="2:10">
      <c r="C179" s="408" t="s">
        <v>1535</v>
      </c>
      <c r="D179" s="719">
        <v>292.95</v>
      </c>
      <c r="E179" s="732">
        <v>0.11746583352825209</v>
      </c>
      <c r="F179" s="765">
        <v>1243</v>
      </c>
      <c r="G179" s="1330">
        <v>0.20915362611475685</v>
      </c>
      <c r="I179" s="405">
        <f>+F179-D179</f>
        <v>950.05</v>
      </c>
      <c r="J179" s="1166">
        <f>+I179/D179</f>
        <v>3.2430448882061786</v>
      </c>
    </row>
    <row r="180" spans="2:10">
      <c r="C180" s="50" t="s">
        <v>1536</v>
      </c>
      <c r="D180" s="719">
        <v>2200.9666666666667</v>
      </c>
      <c r="E180" s="732">
        <v>0.88253416647174798</v>
      </c>
      <c r="F180" s="765">
        <v>4700</v>
      </c>
      <c r="G180" s="1330">
        <v>0.79084637388524315</v>
      </c>
      <c r="I180" s="318">
        <f t="shared" ref="I180:I181" si="57">+F180-D180</f>
        <v>2499.0333333333333</v>
      </c>
      <c r="J180" s="209">
        <f t="shared" ref="J180:J181" si="58">+I180/D180</f>
        <v>1.1354253434097139</v>
      </c>
    </row>
    <row r="181" spans="2:10">
      <c r="C181" s="48" t="s">
        <v>1534</v>
      </c>
      <c r="D181" s="793">
        <v>2493.9166666666665</v>
      </c>
      <c r="E181" s="1313">
        <v>1</v>
      </c>
      <c r="F181" s="1331">
        <v>5943</v>
      </c>
      <c r="G181" s="1318">
        <v>1</v>
      </c>
      <c r="H181" s="11"/>
      <c r="I181" s="336">
        <f t="shared" si="57"/>
        <v>3449.0833333333335</v>
      </c>
      <c r="J181" s="1301">
        <f t="shared" si="58"/>
        <v>1.3829986299996659</v>
      </c>
    </row>
    <row r="184" spans="2:10">
      <c r="C184" s="11" t="s">
        <v>1553</v>
      </c>
      <c r="D184" s="2110" t="s">
        <v>1554</v>
      </c>
      <c r="E184" s="2110"/>
      <c r="F184" s="2093" t="s">
        <v>1533</v>
      </c>
      <c r="G184" s="2094"/>
      <c r="I184" s="2129" t="s">
        <v>1555</v>
      </c>
      <c r="J184" s="2129"/>
    </row>
    <row r="185" spans="2:10">
      <c r="C185" t="s">
        <v>1552</v>
      </c>
      <c r="D185" s="829" t="s">
        <v>984</v>
      </c>
      <c r="E185" s="829" t="s">
        <v>39</v>
      </c>
      <c r="F185" s="1222" t="s">
        <v>984</v>
      </c>
      <c r="G185" s="1222" t="s">
        <v>39</v>
      </c>
      <c r="I185" s="39" t="s">
        <v>984</v>
      </c>
      <c r="J185" s="39" t="s">
        <v>39</v>
      </c>
    </row>
    <row r="186" spans="2:10">
      <c r="C186" s="50" t="s">
        <v>1535</v>
      </c>
      <c r="D186" s="719">
        <v>292.95</v>
      </c>
      <c r="E186" s="732">
        <v>0.11746583352825209</v>
      </c>
      <c r="F186" s="765">
        <v>1243</v>
      </c>
      <c r="G186" s="1330">
        <v>0.20915362611475685</v>
      </c>
      <c r="I186" s="318">
        <f>+F186-D186</f>
        <v>950.05</v>
      </c>
      <c r="J186" s="631">
        <f>+I186/D186</f>
        <v>3.2430448882061786</v>
      </c>
    </row>
    <row r="187" spans="2:10">
      <c r="C187" s="408" t="s">
        <v>1544</v>
      </c>
      <c r="D187" s="719">
        <v>698.01666666666677</v>
      </c>
      <c r="E187" s="732">
        <v>0.27988772680188462</v>
      </c>
      <c r="F187" s="765">
        <v>2350</v>
      </c>
      <c r="G187" s="1330">
        <v>0.39542318694262157</v>
      </c>
      <c r="I187" s="405">
        <f>+F187-D187</f>
        <v>1651.9833333333331</v>
      </c>
      <c r="J187" s="1166">
        <f>+I187/D187</f>
        <v>2.3666817888780107</v>
      </c>
    </row>
    <row r="188" spans="2:10" s="11" customFormat="1">
      <c r="B188" s="42"/>
      <c r="C188" s="48" t="s">
        <v>1556</v>
      </c>
      <c r="D188" s="793">
        <f>SUM(D186:D187)</f>
        <v>990.9666666666667</v>
      </c>
      <c r="E188" s="1313">
        <f>+D188/D190</f>
        <v>0.39735356033013669</v>
      </c>
      <c r="F188" s="1331">
        <f>SUM(F186:F187)</f>
        <v>3593</v>
      </c>
      <c r="G188" s="1318">
        <f>+F188/F190</f>
        <v>0.60457681305737843</v>
      </c>
      <c r="I188" s="336">
        <f>SUM(I186:I187)</f>
        <v>2602.0333333333328</v>
      </c>
      <c r="J188" s="1337">
        <f>+I188/D188</f>
        <v>2.6257526321100602</v>
      </c>
    </row>
    <row r="189" spans="2:10">
      <c r="C189" s="50" t="s">
        <v>1545</v>
      </c>
      <c r="D189" s="719">
        <v>1502.9499999999998</v>
      </c>
      <c r="E189" s="732">
        <v>0.60264643966986331</v>
      </c>
      <c r="F189" s="765">
        <v>2350</v>
      </c>
      <c r="G189" s="1330">
        <v>0.39542318694262157</v>
      </c>
      <c r="I189" s="318">
        <f>+F189-D189</f>
        <v>847.05000000000018</v>
      </c>
      <c r="J189" s="1338">
        <f t="shared" ref="J189:J190" si="59">+I189/D189</f>
        <v>0.56359160318041202</v>
      </c>
    </row>
    <row r="190" spans="2:10">
      <c r="C190" s="48" t="s">
        <v>1534</v>
      </c>
      <c r="D190" s="793">
        <v>2493.9166666666665</v>
      </c>
      <c r="E190" s="1313">
        <v>1</v>
      </c>
      <c r="F190" s="1331">
        <v>5943</v>
      </c>
      <c r="G190" s="1318">
        <v>1</v>
      </c>
      <c r="I190" s="336">
        <f>+F190-D190</f>
        <v>3449.0833333333335</v>
      </c>
      <c r="J190" s="1337">
        <f t="shared" si="59"/>
        <v>1.3829986299996659</v>
      </c>
    </row>
    <row r="193" spans="3:13">
      <c r="C193" s="11" t="s">
        <v>1553</v>
      </c>
      <c r="D193" s="2110" t="s">
        <v>1554</v>
      </c>
      <c r="E193" s="2110"/>
      <c r="F193" s="2093" t="s">
        <v>1533</v>
      </c>
      <c r="G193" s="2094"/>
      <c r="I193" s="2129" t="s">
        <v>1555</v>
      </c>
      <c r="J193" s="2129"/>
      <c r="M193">
        <v>1243</v>
      </c>
    </row>
    <row r="194" spans="3:13">
      <c r="C194" t="s">
        <v>1577</v>
      </c>
      <c r="D194" s="829" t="s">
        <v>984</v>
      </c>
      <c r="E194" s="829" t="s">
        <v>39</v>
      </c>
      <c r="F194" s="1222" t="s">
        <v>984</v>
      </c>
      <c r="G194" s="1222" t="s">
        <v>39</v>
      </c>
      <c r="I194" s="39" t="s">
        <v>984</v>
      </c>
      <c r="J194" s="39" t="s">
        <v>39</v>
      </c>
      <c r="M194">
        <v>2377</v>
      </c>
    </row>
    <row r="195" spans="3:13">
      <c r="C195" s="50" t="s">
        <v>1535</v>
      </c>
      <c r="D195" s="719">
        <v>292.95</v>
      </c>
      <c r="E195" s="732">
        <f>+D195/$D$200</f>
        <v>0.11746583352825206</v>
      </c>
      <c r="F195" s="765">
        <v>1243</v>
      </c>
      <c r="G195" s="1330">
        <f>+F195/$F$200</f>
        <v>0.22216264521894549</v>
      </c>
      <c r="I195" s="318">
        <f>+F195-D195</f>
        <v>950.05</v>
      </c>
      <c r="J195" s="631">
        <f>+I195/D195</f>
        <v>3.2430448882061786</v>
      </c>
      <c r="M195">
        <v>900</v>
      </c>
    </row>
    <row r="196" spans="3:13">
      <c r="C196" s="50" t="s">
        <v>1544</v>
      </c>
      <c r="D196" s="719">
        <v>698.01666666666677</v>
      </c>
      <c r="E196" s="732">
        <f t="shared" ref="E196:E200" si="60">+D196/$D$200</f>
        <v>0.27988772680188462</v>
      </c>
      <c r="F196" s="765">
        <v>2377</v>
      </c>
      <c r="G196" s="1330">
        <f t="shared" ref="G196:G200" si="61">+F196/$F$200</f>
        <v>0.42484361036639856</v>
      </c>
      <c r="I196" s="318">
        <f>+F196-D196</f>
        <v>1678.9833333333331</v>
      </c>
      <c r="J196" s="631">
        <f>+I196/D196</f>
        <v>2.4053628136863967</v>
      </c>
      <c r="M196">
        <v>4520</v>
      </c>
    </row>
    <row r="197" spans="3:13">
      <c r="C197" s="50" t="s">
        <v>1557</v>
      </c>
      <c r="D197" s="719">
        <f>+J152</f>
        <v>150.76666666666665</v>
      </c>
      <c r="E197" s="732">
        <f t="shared" si="60"/>
        <v>6.0453770842383119E-2</v>
      </c>
      <c r="F197" s="765">
        <v>900</v>
      </c>
      <c r="G197" s="1330">
        <f t="shared" si="61"/>
        <v>0.16085790884718498</v>
      </c>
      <c r="I197" s="405">
        <f>+F197-D197</f>
        <v>749.23333333333335</v>
      </c>
      <c r="J197" s="1166">
        <f>+I197/D197</f>
        <v>4.9694892770285213</v>
      </c>
      <c r="M197">
        <v>199.11894273127754</v>
      </c>
    </row>
    <row r="198" spans="3:13">
      <c r="C198" s="48" t="s">
        <v>1556</v>
      </c>
      <c r="D198" s="793">
        <f>SUM(D195:D197)</f>
        <v>1141.7333333333333</v>
      </c>
      <c r="E198" s="1313">
        <f t="shared" si="60"/>
        <v>0.45780733117251976</v>
      </c>
      <c r="F198" s="1331">
        <f>SUM(F195:F197)</f>
        <v>4520</v>
      </c>
      <c r="G198" s="1318">
        <f t="shared" si="61"/>
        <v>0.80786416443252906</v>
      </c>
      <c r="H198" s="11"/>
      <c r="I198" s="336">
        <f>SUM(I195:I197)</f>
        <v>3378.2666666666664</v>
      </c>
      <c r="J198" s="1337">
        <f>+I198/D198</f>
        <v>2.9588929113628399</v>
      </c>
      <c r="M198">
        <v>350</v>
      </c>
    </row>
    <row r="199" spans="3:13">
      <c r="C199" s="50" t="s">
        <v>1631</v>
      </c>
      <c r="D199" s="719">
        <f>1502.95-J152</f>
        <v>1352.1833333333334</v>
      </c>
      <c r="E199" s="732">
        <f t="shared" si="60"/>
        <v>0.54219266882748018</v>
      </c>
      <c r="F199" s="765">
        <v>1075</v>
      </c>
      <c r="G199" s="1330">
        <f t="shared" si="61"/>
        <v>0.19213583556747096</v>
      </c>
      <c r="I199" s="318">
        <f>+F199-D199</f>
        <v>-277.18333333333339</v>
      </c>
      <c r="J199" s="1338">
        <f t="shared" ref="J199:J200" si="62">+I199/D199</f>
        <v>-0.20498946148821046</v>
      </c>
      <c r="M199">
        <v>-250</v>
      </c>
    </row>
    <row r="200" spans="3:13">
      <c r="C200" s="48" t="s">
        <v>1534</v>
      </c>
      <c r="D200" s="793">
        <f>+D198+D199</f>
        <v>2493.916666666667</v>
      </c>
      <c r="E200" s="1313">
        <f t="shared" si="60"/>
        <v>1</v>
      </c>
      <c r="F200" s="1331">
        <f>+F198+F199</f>
        <v>5595</v>
      </c>
      <c r="G200" s="1318">
        <f t="shared" si="61"/>
        <v>1</v>
      </c>
      <c r="I200" s="336">
        <f>+I198+I199</f>
        <v>3101.083333333333</v>
      </c>
      <c r="J200" s="1337">
        <f t="shared" si="62"/>
        <v>1.243459083770508</v>
      </c>
      <c r="M200">
        <v>150</v>
      </c>
    </row>
    <row r="201" spans="3:13">
      <c r="M201">
        <v>-610</v>
      </c>
    </row>
    <row r="202" spans="3:13">
      <c r="M202">
        <v>-435</v>
      </c>
    </row>
    <row r="203" spans="3:13">
      <c r="C203" s="11" t="s">
        <v>1553</v>
      </c>
      <c r="D203" s="2071" t="s">
        <v>43</v>
      </c>
      <c r="E203" s="2072"/>
      <c r="M203">
        <v>1075</v>
      </c>
    </row>
    <row r="204" spans="3:13">
      <c r="C204" s="11" t="s">
        <v>1551</v>
      </c>
      <c r="D204" s="1339" t="s">
        <v>1558</v>
      </c>
      <c r="E204" s="1245" t="s">
        <v>1060</v>
      </c>
      <c r="G204" s="863" t="s">
        <v>1548</v>
      </c>
      <c r="M204">
        <v>0</v>
      </c>
    </row>
    <row r="205" spans="3:13">
      <c r="C205" t="s">
        <v>1552</v>
      </c>
      <c r="D205" s="1091" t="s">
        <v>1549</v>
      </c>
      <c r="E205" s="1246" t="s">
        <v>1549</v>
      </c>
      <c r="G205" s="1320" t="s">
        <v>1549</v>
      </c>
      <c r="M205">
        <v>0</v>
      </c>
    </row>
    <row r="206" spans="3:13">
      <c r="C206" s="46" t="s">
        <v>1535</v>
      </c>
      <c r="D206" s="732">
        <v>0.12</v>
      </c>
      <c r="E206" s="1330">
        <f>+G195</f>
        <v>0.22216264521894549</v>
      </c>
      <c r="G206" s="737">
        <v>0.5</v>
      </c>
      <c r="M206">
        <v>4800</v>
      </c>
    </row>
    <row r="207" spans="3:13">
      <c r="C207" s="46" t="s">
        <v>1544</v>
      </c>
      <c r="D207" s="732">
        <v>0.28000000000000003</v>
      </c>
      <c r="E207" s="1330">
        <f>+G196</f>
        <v>0.42484361036639856</v>
      </c>
      <c r="G207" s="737">
        <v>0.45</v>
      </c>
      <c r="M207">
        <v>-912</v>
      </c>
    </row>
    <row r="208" spans="3:13">
      <c r="C208" s="46" t="s">
        <v>1559</v>
      </c>
      <c r="D208" s="732">
        <v>0.06</v>
      </c>
      <c r="E208" s="1330">
        <f>+G197</f>
        <v>0.16085790884718498</v>
      </c>
      <c r="G208" s="737">
        <v>0</v>
      </c>
      <c r="M208">
        <v>3888</v>
      </c>
    </row>
    <row r="209" spans="3:15">
      <c r="C209" s="47" t="s">
        <v>1560</v>
      </c>
      <c r="D209" s="975">
        <f>SUM(D206:D208)</f>
        <v>0.46</v>
      </c>
      <c r="E209" s="1340">
        <f t="shared" ref="E209" si="63">SUM(E206:E208)</f>
        <v>0.80786416443252906</v>
      </c>
      <c r="G209" s="1341">
        <f>SUM(G206:G208)</f>
        <v>0.95</v>
      </c>
      <c r="M209">
        <v>369.36</v>
      </c>
    </row>
    <row r="210" spans="3:15">
      <c r="C210" s="46" t="s">
        <v>1566</v>
      </c>
      <c r="D210" s="732">
        <v>0.54</v>
      </c>
      <c r="E210" s="1330">
        <f>+G199</f>
        <v>0.19213583556747096</v>
      </c>
      <c r="G210" s="737">
        <v>0.05</v>
      </c>
      <c r="M210">
        <v>3518.64</v>
      </c>
    </row>
    <row r="211" spans="3:15">
      <c r="C211" s="47" t="s">
        <v>1534</v>
      </c>
      <c r="D211" s="1313">
        <f>+D209+D210</f>
        <v>1</v>
      </c>
      <c r="E211" s="1318">
        <f t="shared" ref="E211" si="64">+E209+E210</f>
        <v>1</v>
      </c>
      <c r="G211" s="1322">
        <f>+G209+G210</f>
        <v>1</v>
      </c>
    </row>
    <row r="214" spans="3:15">
      <c r="C214" s="11" t="s">
        <v>1541</v>
      </c>
      <c r="J214" s="2091" t="s">
        <v>1531</v>
      </c>
      <c r="K214" s="2092"/>
      <c r="L214" s="25"/>
      <c r="M214" s="615"/>
      <c r="N214" s="2136" t="s">
        <v>1533</v>
      </c>
      <c r="O214" s="2137"/>
    </row>
    <row r="215" spans="3:15">
      <c r="C215" t="s">
        <v>1532</v>
      </c>
      <c r="D215" s="40">
        <v>2016</v>
      </c>
      <c r="E215" s="40">
        <v>2017</v>
      </c>
      <c r="F215" s="40">
        <v>2018</v>
      </c>
      <c r="G215" s="40">
        <v>2019</v>
      </c>
      <c r="H215" s="40">
        <v>2020</v>
      </c>
      <c r="I215" s="151">
        <v>2021</v>
      </c>
      <c r="J215" s="1090" t="s">
        <v>984</v>
      </c>
      <c r="K215" s="1090" t="s">
        <v>39</v>
      </c>
      <c r="L215" s="40">
        <v>2022</v>
      </c>
      <c r="M215" s="1327">
        <v>2023</v>
      </c>
      <c r="N215" s="1334" t="s">
        <v>984</v>
      </c>
      <c r="O215" s="1222" t="s">
        <v>39</v>
      </c>
    </row>
    <row r="216" spans="3:15">
      <c r="C216" s="46" t="s">
        <v>1535</v>
      </c>
      <c r="D216" s="318">
        <f>390.8+185.1</f>
        <v>575.9</v>
      </c>
      <c r="E216" s="318">
        <f>+-848.9+207.4</f>
        <v>-641.5</v>
      </c>
      <c r="F216" s="318">
        <f>75.9+242.9</f>
        <v>318.8</v>
      </c>
      <c r="G216" s="318">
        <f>130.3+264.2</f>
        <v>394.5</v>
      </c>
      <c r="H216" s="318">
        <f>100.9+208.1</f>
        <v>309</v>
      </c>
      <c r="I216" s="318">
        <f>492+309</f>
        <v>801</v>
      </c>
      <c r="J216" s="719">
        <f>(+D216+E216+F216+G216+H216+I216)/6</f>
        <v>292.95</v>
      </c>
      <c r="K216" s="732">
        <f>+J216/$J$228</f>
        <v>0.11746583352825209</v>
      </c>
      <c r="L216" s="318">
        <v>1105.3</v>
      </c>
      <c r="M216" s="1229">
        <v>1522.2</v>
      </c>
      <c r="N216" s="1329">
        <v>1243</v>
      </c>
      <c r="O216" s="1330">
        <f>+N216/$N$228</f>
        <v>0.20915362611475685</v>
      </c>
    </row>
    <row r="217" spans="3:15">
      <c r="C217" s="46" t="s">
        <v>840</v>
      </c>
      <c r="D217" s="318">
        <v>555.20000000000005</v>
      </c>
      <c r="E217" s="318">
        <v>559</v>
      </c>
      <c r="F217" s="318">
        <v>783.5</v>
      </c>
      <c r="G217" s="318">
        <v>880.2</v>
      </c>
      <c r="H217" s="318">
        <v>769.2</v>
      </c>
      <c r="I217" s="318">
        <v>641</v>
      </c>
      <c r="J217" s="719">
        <f>(+D217+E217+F217+G217+H217+I217)/6</f>
        <v>698.01666666666677</v>
      </c>
      <c r="K217" s="732">
        <f t="shared" ref="K217:K228" si="65">+J217/$J$228</f>
        <v>0.27988772680188462</v>
      </c>
      <c r="L217" s="318">
        <v>961.8</v>
      </c>
      <c r="M217" s="1229">
        <v>1896</v>
      </c>
      <c r="N217" s="1329">
        <v>2350</v>
      </c>
      <c r="O217" s="1330">
        <f t="shared" ref="O217:O228" si="66">+N217/$N$228</f>
        <v>0.39542318694262157</v>
      </c>
    </row>
    <row r="218" spans="3:15">
      <c r="C218" s="46" t="s">
        <v>841</v>
      </c>
      <c r="D218" s="318">
        <v>24.2</v>
      </c>
      <c r="E218" s="318">
        <v>200.5</v>
      </c>
      <c r="F218" s="318">
        <v>221.1</v>
      </c>
      <c r="G218" s="318">
        <v>169.6</v>
      </c>
      <c r="H218" s="318">
        <v>-112.8</v>
      </c>
      <c r="I218" s="318">
        <v>402</v>
      </c>
      <c r="J218" s="719">
        <f>(+D218+E218+F218+G218+H218+I218)/6</f>
        <v>150.76666666666665</v>
      </c>
      <c r="K218" s="732">
        <f t="shared" si="65"/>
        <v>6.0453770842383132E-2</v>
      </c>
      <c r="L218" s="318">
        <v>1014.7</v>
      </c>
      <c r="M218" s="1229">
        <v>1022</v>
      </c>
      <c r="N218" s="1329">
        <v>950</v>
      </c>
      <c r="O218" s="1330">
        <f t="shared" si="66"/>
        <v>0.15985192663637893</v>
      </c>
    </row>
    <row r="219" spans="3:15">
      <c r="C219" s="47" t="s">
        <v>1539</v>
      </c>
      <c r="D219" s="336">
        <f>SUM(D216:D218)</f>
        <v>1155.3</v>
      </c>
      <c r="E219" s="336">
        <f t="shared" ref="E219:J219" si="67">SUM(E216:E218)</f>
        <v>118</v>
      </c>
      <c r="F219" s="336">
        <f t="shared" si="67"/>
        <v>1323.3999999999999</v>
      </c>
      <c r="G219" s="336">
        <f t="shared" si="67"/>
        <v>1444.3</v>
      </c>
      <c r="H219" s="336">
        <f t="shared" si="67"/>
        <v>965.40000000000009</v>
      </c>
      <c r="I219" s="336">
        <f t="shared" si="67"/>
        <v>1844</v>
      </c>
      <c r="J219" s="793">
        <f t="shared" si="67"/>
        <v>1141.7333333333333</v>
      </c>
      <c r="K219" s="1313">
        <f t="shared" si="65"/>
        <v>0.45780733117251982</v>
      </c>
      <c r="L219" s="336">
        <f>SUM(L216:L218)</f>
        <v>3081.8</v>
      </c>
      <c r="M219" s="336">
        <f>SUM(M216:M218)</f>
        <v>4440.2</v>
      </c>
      <c r="N219" s="1331">
        <f>SUM(N216:N218)</f>
        <v>4543</v>
      </c>
      <c r="O219" s="1318">
        <f t="shared" si="66"/>
        <v>0.76442873969375735</v>
      </c>
    </row>
    <row r="220" spans="3:15">
      <c r="K220" s="732"/>
      <c r="O220" s="1330"/>
    </row>
    <row r="221" spans="3:15">
      <c r="C221" s="11" t="s">
        <v>1542</v>
      </c>
      <c r="K221" s="732"/>
      <c r="O221" s="1330"/>
    </row>
    <row r="222" spans="3:15">
      <c r="C222" s="46" t="s">
        <v>1537</v>
      </c>
      <c r="D222" s="318">
        <v>103.2</v>
      </c>
      <c r="E222" s="318">
        <v>261.60000000000002</v>
      </c>
      <c r="F222" s="318">
        <v>263.7</v>
      </c>
      <c r="G222" s="318">
        <v>103.9</v>
      </c>
      <c r="H222" s="318">
        <v>-139.30000000000001</v>
      </c>
      <c r="I222" s="318">
        <v>71</v>
      </c>
      <c r="J222" s="719">
        <f t="shared" ref="J222:J225" si="68">(+D222+E222+F222+G222+H222+I222)/6</f>
        <v>110.68333333333332</v>
      </c>
      <c r="K222" s="732">
        <f t="shared" si="65"/>
        <v>4.4381327897884855E-2</v>
      </c>
      <c r="L222" s="318">
        <v>61</v>
      </c>
      <c r="M222" s="1229">
        <v>46</v>
      </c>
      <c r="N222" s="1329">
        <v>100</v>
      </c>
      <c r="O222" s="1330">
        <f t="shared" si="66"/>
        <v>1.6826518593303044E-2</v>
      </c>
    </row>
    <row r="223" spans="3:15">
      <c r="C223" s="46" t="s">
        <v>129</v>
      </c>
      <c r="D223" s="318">
        <v>-1203.5999999999999</v>
      </c>
      <c r="E223" s="318">
        <v>1467.5</v>
      </c>
      <c r="F223" s="318">
        <v>252.9</v>
      </c>
      <c r="G223" s="318">
        <v>1716</v>
      </c>
      <c r="H223" s="318">
        <v>313.10000000000002</v>
      </c>
      <c r="I223" s="318">
        <v>3445</v>
      </c>
      <c r="J223" s="719">
        <f t="shared" si="68"/>
        <v>998.48333333333323</v>
      </c>
      <c r="K223" s="732">
        <f t="shared" si="65"/>
        <v>0.40036756106525878</v>
      </c>
      <c r="L223" s="318">
        <v>-1733.9</v>
      </c>
      <c r="M223" s="1229">
        <v>1950</v>
      </c>
      <c r="N223" s="1329">
        <v>900</v>
      </c>
      <c r="O223" s="1330">
        <f t="shared" si="66"/>
        <v>0.15143866733972741</v>
      </c>
    </row>
    <row r="224" spans="3:15">
      <c r="C224" s="46" t="s">
        <v>1538</v>
      </c>
      <c r="D224" s="318">
        <v>0</v>
      </c>
      <c r="E224" s="318">
        <v>1018.6</v>
      </c>
      <c r="F224" s="318">
        <v>0</v>
      </c>
      <c r="G224" s="318">
        <v>0</v>
      </c>
      <c r="H224" s="318">
        <v>117.1</v>
      </c>
      <c r="I224" s="318">
        <v>264</v>
      </c>
      <c r="J224" s="719">
        <f t="shared" si="68"/>
        <v>233.28333333333333</v>
      </c>
      <c r="K224" s="732">
        <f t="shared" si="65"/>
        <v>9.3540949644134064E-2</v>
      </c>
      <c r="L224" s="318">
        <v>1219.7</v>
      </c>
      <c r="M224" s="1229">
        <f>259.1+290</f>
        <v>549.1</v>
      </c>
      <c r="N224" s="1329">
        <v>200</v>
      </c>
      <c r="O224" s="1330">
        <f t="shared" si="66"/>
        <v>3.3653037186606088E-2</v>
      </c>
    </row>
    <row r="225" spans="2:17">
      <c r="C225" s="46" t="s">
        <v>1140</v>
      </c>
      <c r="D225" s="318"/>
      <c r="E225" s="318">
        <v>-225</v>
      </c>
      <c r="F225" s="318">
        <v>-558.59999999999991</v>
      </c>
      <c r="G225" s="318">
        <v>437.29999999999973</v>
      </c>
      <c r="H225" s="318">
        <v>-455.69999999999982</v>
      </c>
      <c r="I225" s="318">
        <v>860.40000000000009</v>
      </c>
      <c r="J225" s="719">
        <f t="shared" si="68"/>
        <v>9.7333333333333485</v>
      </c>
      <c r="K225" s="732">
        <f t="shared" si="65"/>
        <v>3.902830220202499E-3</v>
      </c>
      <c r="L225" s="318">
        <v>-148</v>
      </c>
      <c r="M225" s="1229">
        <v>317</v>
      </c>
      <c r="N225" s="1329">
        <v>200</v>
      </c>
      <c r="O225" s="1330">
        <f t="shared" si="66"/>
        <v>3.3653037186606088E-2</v>
      </c>
    </row>
    <row r="226" spans="2:17">
      <c r="C226" s="47" t="s">
        <v>1540</v>
      </c>
      <c r="D226" s="336">
        <f>SUM(D222:D225)</f>
        <v>-1100.3999999999999</v>
      </c>
      <c r="E226" s="336">
        <f t="shared" ref="E226:J226" si="69">SUM(E222:E225)</f>
        <v>2522.6999999999998</v>
      </c>
      <c r="F226" s="336">
        <f t="shared" si="69"/>
        <v>-41.999999999999886</v>
      </c>
      <c r="G226" s="336">
        <f t="shared" si="69"/>
        <v>2257.1999999999998</v>
      </c>
      <c r="H226" s="336">
        <f t="shared" si="69"/>
        <v>-164.79999999999984</v>
      </c>
      <c r="I226" s="336">
        <f t="shared" si="69"/>
        <v>4640.3999999999996</v>
      </c>
      <c r="J226" s="793">
        <f t="shared" si="69"/>
        <v>1352.1833333333332</v>
      </c>
      <c r="K226" s="1313">
        <f t="shared" si="65"/>
        <v>0.54219266882748018</v>
      </c>
      <c r="L226" s="336">
        <f>SUM(L222:L225)</f>
        <v>-601.20000000000005</v>
      </c>
      <c r="M226" s="336">
        <f>SUM(M222:M225)</f>
        <v>2862.1</v>
      </c>
      <c r="N226" s="1331">
        <f>SUM(N222:N225)</f>
        <v>1400</v>
      </c>
      <c r="O226" s="1318">
        <f t="shared" si="66"/>
        <v>0.23557126030624265</v>
      </c>
    </row>
    <row r="227" spans="2:17">
      <c r="K227" s="732"/>
      <c r="O227" s="1330"/>
    </row>
    <row r="228" spans="2:17" s="11" customFormat="1">
      <c r="B228" s="42"/>
      <c r="C228" s="47" t="s">
        <v>1534</v>
      </c>
      <c r="D228" s="336">
        <f>+D219+D226</f>
        <v>54.900000000000091</v>
      </c>
      <c r="E228" s="336">
        <f t="shared" ref="E228:N228" si="70">+E219+E226</f>
        <v>2640.7</v>
      </c>
      <c r="F228" s="336">
        <f t="shared" si="70"/>
        <v>1281.4000000000001</v>
      </c>
      <c r="G228" s="336">
        <f t="shared" si="70"/>
        <v>3701.5</v>
      </c>
      <c r="H228" s="336">
        <f t="shared" si="70"/>
        <v>800.60000000000025</v>
      </c>
      <c r="I228" s="336">
        <f t="shared" si="70"/>
        <v>6484.4</v>
      </c>
      <c r="J228" s="336">
        <f t="shared" si="70"/>
        <v>2493.9166666666665</v>
      </c>
      <c r="K228" s="1313">
        <f t="shared" si="65"/>
        <v>1</v>
      </c>
      <c r="L228" s="336">
        <f t="shared" si="70"/>
        <v>2480.6000000000004</v>
      </c>
      <c r="M228" s="336">
        <f t="shared" si="70"/>
        <v>7302.2999999999993</v>
      </c>
      <c r="N228" s="336">
        <f t="shared" si="70"/>
        <v>5943</v>
      </c>
      <c r="O228" s="1318">
        <f t="shared" si="66"/>
        <v>1</v>
      </c>
    </row>
    <row r="232" spans="2:17">
      <c r="C232" s="11" t="s">
        <v>1541</v>
      </c>
      <c r="I232" s="1366" t="s">
        <v>1531</v>
      </c>
      <c r="J232" s="874"/>
      <c r="N232" s="25"/>
      <c r="O232" s="615"/>
      <c r="P232" s="1332" t="s">
        <v>1533</v>
      </c>
      <c r="Q232" s="1333"/>
    </row>
    <row r="233" spans="2:17">
      <c r="C233" t="s">
        <v>1575</v>
      </c>
      <c r="D233" s="40">
        <v>2016</v>
      </c>
      <c r="E233" s="40">
        <v>2017</v>
      </c>
      <c r="F233" s="40">
        <v>2018</v>
      </c>
      <c r="G233" s="40">
        <v>2019</v>
      </c>
      <c r="H233" s="40">
        <v>2020</v>
      </c>
      <c r="I233" s="1090" t="s">
        <v>984</v>
      </c>
      <c r="J233" s="1090" t="s">
        <v>39</v>
      </c>
      <c r="M233" s="151">
        <v>2021</v>
      </c>
      <c r="N233" s="40">
        <v>2022</v>
      </c>
      <c r="O233" s="1327">
        <v>2023</v>
      </c>
      <c r="P233" s="1334" t="s">
        <v>984</v>
      </c>
      <c r="Q233" s="1222" t="s">
        <v>39</v>
      </c>
    </row>
    <row r="234" spans="2:17">
      <c r="C234" s="46" t="s">
        <v>1535</v>
      </c>
      <c r="D234" s="318">
        <f>390.8+185.1</f>
        <v>575.9</v>
      </c>
      <c r="E234" s="318">
        <f>+-848.9+207.4</f>
        <v>-641.5</v>
      </c>
      <c r="F234" s="318">
        <f>75.9+242.9</f>
        <v>318.8</v>
      </c>
      <c r="G234" s="318">
        <f>130.3+264.2</f>
        <v>394.5</v>
      </c>
      <c r="H234" s="318">
        <f>100.9+208.1</f>
        <v>309</v>
      </c>
      <c r="I234" s="719">
        <f>(+D234+E234+F234+G234+H234)/6</f>
        <v>159.45000000000002</v>
      </c>
      <c r="J234" s="732">
        <f>+I234/$J$228</f>
        <v>6.3935576569652833E-2</v>
      </c>
      <c r="M234" s="318">
        <f>492+309</f>
        <v>801</v>
      </c>
      <c r="N234" s="318">
        <v>1105.3</v>
      </c>
      <c r="O234" s="1229">
        <v>1522.2</v>
      </c>
      <c r="P234" s="1329">
        <v>1243</v>
      </c>
      <c r="Q234" s="1330">
        <f>+P234/$N$228</f>
        <v>0.20915362611475685</v>
      </c>
    </row>
    <row r="235" spans="2:17">
      <c r="C235" s="46" t="s">
        <v>840</v>
      </c>
      <c r="D235" s="318">
        <v>555.20000000000005</v>
      </c>
      <c r="E235" s="318">
        <v>559</v>
      </c>
      <c r="F235" s="318">
        <v>783.5</v>
      </c>
      <c r="G235" s="318">
        <v>880.2</v>
      </c>
      <c r="H235" s="318">
        <v>769.2</v>
      </c>
      <c r="I235" s="719">
        <f t="shared" ref="I235:I236" si="71">(+D235+E235+F235+G235+H235)/6</f>
        <v>591.18333333333339</v>
      </c>
      <c r="J235" s="732">
        <f t="shared" ref="J235:J237" si="72">+I235/$J$228</f>
        <v>0.23705015537808671</v>
      </c>
      <c r="M235" s="318">
        <v>641</v>
      </c>
      <c r="N235" s="318">
        <v>961.8</v>
      </c>
      <c r="O235" s="1229">
        <v>1896</v>
      </c>
      <c r="P235" s="1329">
        <v>2350</v>
      </c>
      <c r="Q235" s="1330">
        <f t="shared" ref="Q235:Q237" si="73">+P235/$N$228</f>
        <v>0.39542318694262157</v>
      </c>
    </row>
    <row r="236" spans="2:17">
      <c r="C236" s="46" t="s">
        <v>841</v>
      </c>
      <c r="D236" s="318">
        <v>24.2</v>
      </c>
      <c r="E236" s="318">
        <v>200.5</v>
      </c>
      <c r="F236" s="318">
        <v>221.1</v>
      </c>
      <c r="G236" s="318">
        <v>169.6</v>
      </c>
      <c r="H236" s="318">
        <v>-112.8</v>
      </c>
      <c r="I236" s="719">
        <f t="shared" si="71"/>
        <v>83.766666666666666</v>
      </c>
      <c r="J236" s="732">
        <f t="shared" si="72"/>
        <v>3.3588398436194745E-2</v>
      </c>
      <c r="M236" s="318">
        <v>402</v>
      </c>
      <c r="N236" s="318">
        <v>1014.7</v>
      </c>
      <c r="O236" s="1229">
        <v>1022</v>
      </c>
      <c r="P236" s="1329">
        <v>950</v>
      </c>
      <c r="Q236" s="1330">
        <f t="shared" si="73"/>
        <v>0.15985192663637893</v>
      </c>
    </row>
    <row r="237" spans="2:17">
      <c r="C237" s="47" t="s">
        <v>1539</v>
      </c>
      <c r="D237" s="336">
        <f>SUM(D234:D236)</f>
        <v>1155.3</v>
      </c>
      <c r="E237" s="336">
        <f t="shared" ref="E237:H237" si="74">SUM(E234:E236)</f>
        <v>118</v>
      </c>
      <c r="F237" s="336">
        <f t="shared" si="74"/>
        <v>1323.3999999999999</v>
      </c>
      <c r="G237" s="336">
        <f t="shared" si="74"/>
        <v>1444.3</v>
      </c>
      <c r="H237" s="336">
        <f t="shared" si="74"/>
        <v>965.40000000000009</v>
      </c>
      <c r="I237" s="793">
        <f>SUM(I234:I236)</f>
        <v>834.40000000000009</v>
      </c>
      <c r="J237" s="1313">
        <f t="shared" si="72"/>
        <v>0.3345741303839343</v>
      </c>
      <c r="M237" s="336">
        <f>SUM(M234:M236)</f>
        <v>1844</v>
      </c>
      <c r="N237" s="336">
        <f>SUM(N234:N236)</f>
        <v>3081.8</v>
      </c>
      <c r="O237" s="336">
        <f>SUM(O234:O236)</f>
        <v>4440.2</v>
      </c>
      <c r="P237" s="1331">
        <f>SUM(P234:P236)</f>
        <v>4543</v>
      </c>
      <c r="Q237" s="1318">
        <f t="shared" si="73"/>
        <v>0.76442873969375735</v>
      </c>
    </row>
    <row r="238" spans="2:17">
      <c r="J238" s="732"/>
      <c r="Q238" s="1330"/>
    </row>
    <row r="239" spans="2:17">
      <c r="C239" s="11" t="s">
        <v>1542</v>
      </c>
      <c r="J239" s="732"/>
      <c r="Q239" s="1330"/>
    </row>
    <row r="240" spans="2:17">
      <c r="C240" s="46" t="s">
        <v>1537</v>
      </c>
      <c r="D240" s="318">
        <v>103.2</v>
      </c>
      <c r="E240" s="318">
        <v>261.60000000000002</v>
      </c>
      <c r="F240" s="318">
        <v>263.7</v>
      </c>
      <c r="G240" s="318">
        <v>103.9</v>
      </c>
      <c r="H240" s="318">
        <v>-139.30000000000001</v>
      </c>
      <c r="I240" s="719">
        <f>(+D240+E240+F240+G240+H240)/6</f>
        <v>98.84999999999998</v>
      </c>
      <c r="J240" s="732">
        <f t="shared" ref="J240:J244" si="75">+I240/$J$228</f>
        <v>3.9636448691816747E-2</v>
      </c>
      <c r="M240" s="318">
        <v>71</v>
      </c>
      <c r="N240" s="318">
        <v>61</v>
      </c>
      <c r="O240" s="1229">
        <v>46</v>
      </c>
      <c r="P240" s="1329">
        <v>100</v>
      </c>
      <c r="Q240" s="1330">
        <f t="shared" ref="Q240:Q244" si="76">+P240/$N$228</f>
        <v>1.6826518593303044E-2</v>
      </c>
    </row>
    <row r="241" spans="3:17">
      <c r="C241" s="46" t="s">
        <v>129</v>
      </c>
      <c r="D241" s="318">
        <v>-1203.5999999999999</v>
      </c>
      <c r="E241" s="318">
        <v>1467.5</v>
      </c>
      <c r="F241" s="318">
        <v>252.9</v>
      </c>
      <c r="G241" s="318">
        <v>1716</v>
      </c>
      <c r="H241" s="318">
        <v>313.10000000000002</v>
      </c>
      <c r="I241" s="719">
        <f t="shared" ref="I241:I243" si="77">(+D241+E241+F241+G241+H241)/6</f>
        <v>424.31666666666666</v>
      </c>
      <c r="J241" s="732">
        <f t="shared" si="75"/>
        <v>0.17014067564406724</v>
      </c>
      <c r="M241" s="318">
        <v>3445</v>
      </c>
      <c r="N241" s="318">
        <v>-1733.9</v>
      </c>
      <c r="O241" s="1229">
        <v>1950</v>
      </c>
      <c r="P241" s="1329">
        <v>900</v>
      </c>
      <c r="Q241" s="1330">
        <f t="shared" si="76"/>
        <v>0.15143866733972741</v>
      </c>
    </row>
    <row r="242" spans="3:17">
      <c r="C242" s="46" t="s">
        <v>1538</v>
      </c>
      <c r="D242" s="318">
        <v>0</v>
      </c>
      <c r="E242" s="318">
        <v>1018.6</v>
      </c>
      <c r="F242" s="318">
        <v>0</v>
      </c>
      <c r="G242" s="318">
        <v>0</v>
      </c>
      <c r="H242" s="318">
        <v>117.1</v>
      </c>
      <c r="I242" s="719">
        <f t="shared" si="77"/>
        <v>189.28333333333333</v>
      </c>
      <c r="J242" s="732">
        <f t="shared" si="75"/>
        <v>7.5898018511711837E-2</v>
      </c>
      <c r="M242" s="318">
        <v>264</v>
      </c>
      <c r="N242" s="318">
        <v>1219.7</v>
      </c>
      <c r="O242" s="1229">
        <f>259.1+290</f>
        <v>549.1</v>
      </c>
      <c r="P242" s="1329">
        <v>200</v>
      </c>
      <c r="Q242" s="1330">
        <f t="shared" si="76"/>
        <v>3.3653037186606088E-2</v>
      </c>
    </row>
    <row r="243" spans="3:17">
      <c r="C243" s="46" t="s">
        <v>1140</v>
      </c>
      <c r="D243" s="318"/>
      <c r="E243" s="318">
        <v>-225</v>
      </c>
      <c r="F243" s="318">
        <v>-558.59999999999991</v>
      </c>
      <c r="G243" s="318">
        <v>437.29999999999973</v>
      </c>
      <c r="H243" s="318">
        <v>-455.69999999999982</v>
      </c>
      <c r="I243" s="719">
        <f t="shared" si="77"/>
        <v>-133.66666666666666</v>
      </c>
      <c r="J243" s="732">
        <f t="shared" si="75"/>
        <v>-5.3597086243191767E-2</v>
      </c>
      <c r="M243" s="318">
        <v>860.40000000000009</v>
      </c>
      <c r="N243" s="318">
        <v>-148</v>
      </c>
      <c r="O243" s="1229">
        <v>317</v>
      </c>
      <c r="P243" s="1329">
        <v>200</v>
      </c>
      <c r="Q243" s="1330">
        <f t="shared" si="76"/>
        <v>3.3653037186606088E-2</v>
      </c>
    </row>
    <row r="244" spans="3:17">
      <c r="C244" s="47" t="s">
        <v>1540</v>
      </c>
      <c r="D244" s="336">
        <f>SUM(D240:D243)</f>
        <v>-1100.3999999999999</v>
      </c>
      <c r="E244" s="336">
        <f t="shared" ref="E244:H244" si="78">SUM(E240:E243)</f>
        <v>2522.6999999999998</v>
      </c>
      <c r="F244" s="336">
        <f t="shared" si="78"/>
        <v>-41.999999999999886</v>
      </c>
      <c r="G244" s="336">
        <f t="shared" si="78"/>
        <v>2257.1999999999998</v>
      </c>
      <c r="H244" s="336">
        <f t="shared" si="78"/>
        <v>-164.79999999999984</v>
      </c>
      <c r="I244" s="793">
        <f>SUM(I240:I243)</f>
        <v>578.7833333333333</v>
      </c>
      <c r="J244" s="1313">
        <f t="shared" si="75"/>
        <v>0.23207805660440406</v>
      </c>
      <c r="M244" s="336">
        <f>SUM(M240:M243)</f>
        <v>4640.3999999999996</v>
      </c>
      <c r="N244" s="336">
        <f>SUM(N240:N243)</f>
        <v>-601.20000000000005</v>
      </c>
      <c r="O244" s="336">
        <f>SUM(O240:O243)</f>
        <v>2862.1</v>
      </c>
      <c r="P244" s="1331">
        <f>SUM(P240:P243)</f>
        <v>1400</v>
      </c>
      <c r="Q244" s="1318">
        <f t="shared" si="76"/>
        <v>0.23557126030624265</v>
      </c>
    </row>
    <row r="245" spans="3:17">
      <c r="J245" s="732"/>
      <c r="Q245" s="1330"/>
    </row>
    <row r="246" spans="3:17">
      <c r="C246" s="47" t="s">
        <v>1534</v>
      </c>
      <c r="D246" s="336">
        <f>+D237+D244</f>
        <v>54.900000000000091</v>
      </c>
      <c r="E246" s="336">
        <f t="shared" ref="E246:H246" si="79">+E237+E244</f>
        <v>2640.7</v>
      </c>
      <c r="F246" s="336">
        <f t="shared" si="79"/>
        <v>1281.4000000000001</v>
      </c>
      <c r="G246" s="336">
        <f t="shared" si="79"/>
        <v>3701.5</v>
      </c>
      <c r="H246" s="336">
        <f t="shared" si="79"/>
        <v>800.60000000000025</v>
      </c>
      <c r="I246" s="336">
        <f>+I237+I244</f>
        <v>1413.1833333333334</v>
      </c>
      <c r="J246" s="1313">
        <f t="shared" ref="J246" si="80">+I246/$J$228</f>
        <v>0.5666521869883383</v>
      </c>
      <c r="M246" s="336">
        <f>+M237+M244</f>
        <v>6484.4</v>
      </c>
      <c r="N246" s="336">
        <f t="shared" ref="N246:P246" si="81">+N237+N244</f>
        <v>2480.6000000000004</v>
      </c>
      <c r="O246" s="336">
        <f t="shared" si="81"/>
        <v>7302.2999999999993</v>
      </c>
      <c r="P246" s="336">
        <f t="shared" si="81"/>
        <v>5943</v>
      </c>
      <c r="Q246" s="1318">
        <f t="shared" ref="Q246" si="82">+P246/$N$228</f>
        <v>1</v>
      </c>
    </row>
    <row r="251" spans="3:17">
      <c r="E251" s="11" t="s">
        <v>1758</v>
      </c>
    </row>
    <row r="252" spans="3:17">
      <c r="F252" s="2110" t="s">
        <v>19</v>
      </c>
      <c r="G252" s="2110"/>
      <c r="H252" s="2096" t="s">
        <v>1107</v>
      </c>
      <c r="I252" s="2096"/>
      <c r="J252" s="863" t="s">
        <v>1302</v>
      </c>
    </row>
    <row r="253" spans="3:17">
      <c r="F253" s="829" t="s">
        <v>1458</v>
      </c>
      <c r="G253" s="829" t="s">
        <v>39</v>
      </c>
      <c r="H253" s="1222" t="s">
        <v>984</v>
      </c>
      <c r="I253" s="1222" t="s">
        <v>39</v>
      </c>
      <c r="J253" s="1320" t="s">
        <v>959</v>
      </c>
    </row>
    <row r="254" spans="3:17">
      <c r="E254" s="45">
        <v>2019</v>
      </c>
      <c r="F254" s="848">
        <v>39</v>
      </c>
      <c r="G254" s="732"/>
      <c r="H254" s="765">
        <f>(+F254/J254)*1000</f>
        <v>1455.2238805970148</v>
      </c>
      <c r="I254" s="1330"/>
      <c r="J254" s="1481">
        <v>26.8</v>
      </c>
      <c r="L254">
        <f>+F254/J254*1000</f>
        <v>1455.2238805970148</v>
      </c>
    </row>
    <row r="255" spans="3:17">
      <c r="E255" s="45">
        <v>2020</v>
      </c>
      <c r="F255" s="848">
        <v>43.2</v>
      </c>
      <c r="G255" s="850">
        <f t="shared" ref="G255:I259" si="83">(+F255-F254)/F254</f>
        <v>0.10769230769230777</v>
      </c>
      <c r="H255" s="765">
        <f t="shared" ref="H255:H259" si="84">(+F255/J255)*1000</f>
        <v>1648.8549618320612</v>
      </c>
      <c r="I255" s="1219">
        <f t="shared" si="83"/>
        <v>0.13305930710510883</v>
      </c>
      <c r="J255" s="1482">
        <v>26.2</v>
      </c>
    </row>
    <row r="256" spans="3:17">
      <c r="E256" s="45">
        <v>2021</v>
      </c>
      <c r="F256" s="848">
        <v>53</v>
      </c>
      <c r="G256" s="850">
        <f t="shared" si="83"/>
        <v>0.22685185185185178</v>
      </c>
      <c r="H256" s="765">
        <f t="shared" si="84"/>
        <v>2217.5732217573227</v>
      </c>
      <c r="I256" s="1219">
        <f t="shared" si="83"/>
        <v>0.34491709282504279</v>
      </c>
      <c r="J256" s="1482">
        <v>23.9</v>
      </c>
    </row>
    <row r="257" spans="5:10">
      <c r="E257" s="45">
        <v>2022</v>
      </c>
      <c r="F257" s="848">
        <v>55.5</v>
      </c>
      <c r="G257" s="850">
        <f t="shared" si="83"/>
        <v>4.716981132075472E-2</v>
      </c>
      <c r="H257" s="765">
        <f t="shared" si="84"/>
        <v>2381.9742489270384</v>
      </c>
      <c r="I257" s="1219">
        <f t="shared" si="83"/>
        <v>7.4135557535022711E-2</v>
      </c>
      <c r="J257" s="1482">
        <v>23.3</v>
      </c>
    </row>
    <row r="258" spans="5:10">
      <c r="E258" s="45">
        <v>2023</v>
      </c>
      <c r="F258" s="848">
        <v>64.760000000000005</v>
      </c>
      <c r="G258" s="850">
        <f t="shared" si="83"/>
        <v>0.16684684684684695</v>
      </c>
      <c r="H258" s="765">
        <f t="shared" si="84"/>
        <v>2815.6521739130435</v>
      </c>
      <c r="I258" s="1219">
        <f t="shared" si="83"/>
        <v>0.18206658832745801</v>
      </c>
      <c r="J258" s="1482">
        <v>23</v>
      </c>
    </row>
    <row r="259" spans="5:10">
      <c r="E259" s="45">
        <v>2024</v>
      </c>
      <c r="F259" s="848">
        <v>70</v>
      </c>
      <c r="G259" s="850">
        <f t="shared" si="83"/>
        <v>8.0914144533662663E-2</v>
      </c>
      <c r="H259" s="765">
        <f t="shared" si="84"/>
        <v>3225.8064516129034</v>
      </c>
      <c r="I259" s="1219">
        <f t="shared" si="83"/>
        <v>0.14566936978222325</v>
      </c>
      <c r="J259" s="1483">
        <v>21.7</v>
      </c>
    </row>
    <row r="260" spans="5:10" ht="7" customHeight="1"/>
    <row r="261" spans="5:10">
      <c r="E261" s="460" t="s">
        <v>1757</v>
      </c>
      <c r="F261" s="848">
        <f>+F259-F254</f>
        <v>31</v>
      </c>
      <c r="G261" s="732">
        <f>+F261/F254</f>
        <v>0.79487179487179482</v>
      </c>
      <c r="H261" s="765">
        <f>+H259-H254</f>
        <v>1770.5825710158886</v>
      </c>
      <c r="I261" s="1330">
        <f>+H261/H254</f>
        <v>1.2167080231596363</v>
      </c>
    </row>
    <row r="262" spans="5:10">
      <c r="E262" s="515" t="s">
        <v>1759</v>
      </c>
      <c r="F262" s="28"/>
      <c r="G262" s="850">
        <v>0.124</v>
      </c>
      <c r="H262" s="902"/>
      <c r="I262" s="1219">
        <v>0.17299999999999999</v>
      </c>
    </row>
    <row r="268" spans="5:10">
      <c r="E268" s="11" t="s">
        <v>1762</v>
      </c>
    </row>
    <row r="269" spans="5:10">
      <c r="E269" s="11" t="s">
        <v>1763</v>
      </c>
    </row>
    <row r="270" spans="5:10">
      <c r="F270" s="40" t="s">
        <v>19</v>
      </c>
      <c r="G270" s="2071" t="s">
        <v>1761</v>
      </c>
      <c r="H270" s="2072"/>
    </row>
    <row r="271" spans="5:10">
      <c r="F271" s="41" t="s">
        <v>1458</v>
      </c>
      <c r="G271" s="39" t="s">
        <v>39</v>
      </c>
      <c r="H271" s="39" t="s">
        <v>1458</v>
      </c>
    </row>
    <row r="272" spans="5:10">
      <c r="E272" s="46" t="s">
        <v>1285</v>
      </c>
      <c r="F272" s="647">
        <v>49</v>
      </c>
      <c r="G272" s="490">
        <v>0.05</v>
      </c>
      <c r="H272" s="647">
        <f>+F272*G272</f>
        <v>2.4500000000000002</v>
      </c>
    </row>
    <row r="273" spans="5:8">
      <c r="E273" s="46" t="s">
        <v>1689</v>
      </c>
      <c r="F273" s="647">
        <v>21</v>
      </c>
      <c r="G273" s="490">
        <v>0.125</v>
      </c>
      <c r="H273" s="647">
        <f>+F273*G273</f>
        <v>2.625</v>
      </c>
    </row>
    <row r="274" spans="5:8">
      <c r="E274" s="438" t="s">
        <v>1760</v>
      </c>
      <c r="F274" s="848">
        <f>SUM(F272:F273)</f>
        <v>70</v>
      </c>
      <c r="G274" s="850">
        <f>+H274/F274</f>
        <v>7.2500000000000009E-2</v>
      </c>
      <c r="H274" s="848">
        <f>SUM(H272:H273)</f>
        <v>5.0750000000000002</v>
      </c>
    </row>
  </sheetData>
  <mergeCells count="30">
    <mergeCell ref="G270:H270"/>
    <mergeCell ref="D203:E203"/>
    <mergeCell ref="D193:E193"/>
    <mergeCell ref="F193:G193"/>
    <mergeCell ref="D177:E177"/>
    <mergeCell ref="I4:J4"/>
    <mergeCell ref="I24:J24"/>
    <mergeCell ref="E103:F103"/>
    <mergeCell ref="H103:I103"/>
    <mergeCell ref="F252:G252"/>
    <mergeCell ref="H252:I252"/>
    <mergeCell ref="E44:F44"/>
    <mergeCell ref="G44:H44"/>
    <mergeCell ref="I44:J44"/>
    <mergeCell ref="F177:G177"/>
    <mergeCell ref="D184:E184"/>
    <mergeCell ref="F184:G184"/>
    <mergeCell ref="J214:K214"/>
    <mergeCell ref="K44:L44"/>
    <mergeCell ref="I184:J184"/>
    <mergeCell ref="P142:Q142"/>
    <mergeCell ref="J142:K142"/>
    <mergeCell ref="L103:M103"/>
    <mergeCell ref="T51:U51"/>
    <mergeCell ref="P160:Q160"/>
    <mergeCell ref="N214:O214"/>
    <mergeCell ref="J149:K149"/>
    <mergeCell ref="J160:K160"/>
    <mergeCell ref="I193:J193"/>
    <mergeCell ref="I177:J177"/>
  </mergeCells>
  <phoneticPr fontId="16" type="noConversion"/>
  <printOptions horizontalCentered="1" gridLines="1"/>
  <pageMargins left="0.7" right="0.7" top="0.75" bottom="0.75" header="0.3" footer="0.3"/>
  <pageSetup orientation="landscape" horizontalDpi="4294967292" verticalDpi="4294967292"/>
  <ignoredErrors>
    <ignoredError sqref="D157:I157 D120:J120 L75:M75 L120" formulaRange="1"/>
    <ignoredError sqref="K145:K146 E188:F188 I188 E198 E200 I198 E209 G261 H255:H261 G274 U54" formula="1"/>
    <ignoredError sqref="Q9"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45DC6-D44E-B241-BB70-BF2A6D03722D}">
  <dimension ref="B5:AB47"/>
  <sheetViews>
    <sheetView topLeftCell="D1" workbookViewId="0">
      <selection activeCell="X2" sqref="X2"/>
    </sheetView>
  </sheetViews>
  <sheetFormatPr baseColWidth="10" defaultRowHeight="16"/>
  <cols>
    <col min="5" max="5" width="14" customWidth="1"/>
    <col min="6" max="6" width="5.1640625" customWidth="1"/>
    <col min="7" max="7" width="6.6640625" customWidth="1"/>
    <col min="8" max="9" width="5.1640625" customWidth="1"/>
    <col min="10" max="10" width="6.6640625" bestFit="1" customWidth="1"/>
    <col min="11" max="11" width="1.83203125" customWidth="1"/>
    <col min="12" max="13" width="5.83203125" customWidth="1"/>
    <col min="14" max="14" width="5.1640625" customWidth="1"/>
    <col min="15" max="15" width="7.33203125" customWidth="1"/>
    <col min="16" max="16" width="7.5" bestFit="1" customWidth="1"/>
    <col min="17" max="17" width="1.83203125" customWidth="1"/>
    <col min="18" max="19" width="5.83203125" bestFit="1" customWidth="1"/>
    <col min="20" max="20" width="7.33203125" bestFit="1" customWidth="1"/>
    <col min="21" max="21" width="5.83203125" bestFit="1" customWidth="1"/>
    <col min="22" max="22" width="7.5" bestFit="1" customWidth="1"/>
    <col min="23" max="23" width="1.83203125" customWidth="1"/>
    <col min="24" max="25" width="7.33203125" bestFit="1" customWidth="1"/>
    <col min="26" max="26" width="8.83203125" bestFit="1" customWidth="1"/>
    <col min="27" max="27" width="7.33203125" bestFit="1" customWidth="1"/>
    <col min="28" max="28" width="8.83203125" bestFit="1" customWidth="1"/>
  </cols>
  <sheetData>
    <row r="5" spans="2:28">
      <c r="B5" s="382" t="s">
        <v>1331</v>
      </c>
      <c r="P5" s="30" t="s">
        <v>2084</v>
      </c>
      <c r="V5" s="30" t="s">
        <v>2089</v>
      </c>
      <c r="X5" s="30" t="s">
        <v>2086</v>
      </c>
      <c r="Y5" s="30" t="s">
        <v>2086</v>
      </c>
    </row>
    <row r="6" spans="2:28">
      <c r="P6" s="30" t="s">
        <v>2083</v>
      </c>
      <c r="R6" s="30" t="s">
        <v>2085</v>
      </c>
      <c r="V6" s="30" t="s">
        <v>1867</v>
      </c>
      <c r="X6" s="30" t="s">
        <v>2087</v>
      </c>
      <c r="Y6" s="30" t="s">
        <v>2087</v>
      </c>
    </row>
    <row r="7" spans="2:28">
      <c r="B7" s="11" t="s">
        <v>1316</v>
      </c>
    </row>
    <row r="8" spans="2:28">
      <c r="B8" s="510" t="s">
        <v>1330</v>
      </c>
    </row>
    <row r="10" spans="2:28">
      <c r="B10" s="1101" t="s">
        <v>1317</v>
      </c>
      <c r="C10" s="24"/>
      <c r="D10" s="24"/>
      <c r="E10" s="18"/>
      <c r="F10" s="2071">
        <v>2022</v>
      </c>
      <c r="G10" s="2077"/>
      <c r="H10" s="2077"/>
      <c r="I10" s="2077"/>
      <c r="J10" s="2072"/>
      <c r="L10" s="2071">
        <v>2023</v>
      </c>
      <c r="M10" s="2077"/>
      <c r="N10" s="2077"/>
      <c r="O10" s="2077"/>
      <c r="P10" s="2072"/>
      <c r="R10" s="2071">
        <v>2024</v>
      </c>
      <c r="S10" s="2077"/>
      <c r="T10" s="2077"/>
      <c r="U10" s="2077"/>
      <c r="V10" s="2072"/>
      <c r="W10" s="11"/>
      <c r="X10" s="2071">
        <v>2025</v>
      </c>
      <c r="Y10" s="2077"/>
      <c r="Z10" s="2077"/>
      <c r="AA10" s="2077"/>
      <c r="AB10" s="2072"/>
    </row>
    <row r="11" spans="2:28">
      <c r="B11" s="1102" t="s">
        <v>1321</v>
      </c>
      <c r="E11" s="60"/>
      <c r="F11" s="39" t="s">
        <v>761</v>
      </c>
      <c r="G11" s="39" t="s">
        <v>778</v>
      </c>
      <c r="H11" s="39" t="s">
        <v>779</v>
      </c>
      <c r="I11" s="39" t="s">
        <v>148</v>
      </c>
      <c r="J11" s="1222" t="s">
        <v>780</v>
      </c>
      <c r="K11" s="60"/>
      <c r="L11" s="39" t="s">
        <v>761</v>
      </c>
      <c r="M11" s="39" t="s">
        <v>778</v>
      </c>
      <c r="N11" s="39" t="s">
        <v>779</v>
      </c>
      <c r="O11" s="39" t="s">
        <v>148</v>
      </c>
      <c r="P11" s="1222" t="s">
        <v>780</v>
      </c>
      <c r="R11" s="39" t="s">
        <v>761</v>
      </c>
      <c r="S11" s="39" t="s">
        <v>778</v>
      </c>
      <c r="T11" s="39" t="s">
        <v>779</v>
      </c>
      <c r="U11" s="39" t="s">
        <v>148</v>
      </c>
      <c r="V11" s="1222" t="s">
        <v>780</v>
      </c>
      <c r="W11" s="42"/>
      <c r="X11" s="39" t="s">
        <v>761</v>
      </c>
      <c r="Y11" s="39" t="s">
        <v>778</v>
      </c>
      <c r="Z11" s="39" t="s">
        <v>779</v>
      </c>
      <c r="AA11" s="39" t="s">
        <v>148</v>
      </c>
      <c r="AB11" s="1222" t="s">
        <v>780</v>
      </c>
    </row>
    <row r="12" spans="2:28">
      <c r="B12" s="1102" t="s">
        <v>1320</v>
      </c>
      <c r="E12" s="60"/>
    </row>
    <row r="13" spans="2:28">
      <c r="B13" s="50" t="s">
        <v>1317</v>
      </c>
      <c r="C13" s="63"/>
      <c r="D13" s="63"/>
      <c r="E13" s="28"/>
      <c r="F13" s="318">
        <v>513.6</v>
      </c>
      <c r="G13" s="318">
        <v>932.3</v>
      </c>
      <c r="H13" s="318">
        <v>506</v>
      </c>
      <c r="I13" s="318">
        <f>+J13-F13-G13-H13</f>
        <v>62.500000000000227</v>
      </c>
      <c r="J13" s="765">
        <v>2014.4</v>
      </c>
      <c r="K13" s="60"/>
      <c r="L13" s="318">
        <v>-225.8</v>
      </c>
      <c r="M13" s="318">
        <v>-585.29999999999995</v>
      </c>
      <c r="N13" s="318">
        <v>-22.7</v>
      </c>
      <c r="O13" s="318">
        <f>+P13-L13-M13-N13</f>
        <v>-1318.8999999999999</v>
      </c>
      <c r="P13" s="765">
        <v>-2152.6999999999998</v>
      </c>
      <c r="R13" s="318">
        <v>-270.2</v>
      </c>
      <c r="S13" s="318">
        <v>-296.5</v>
      </c>
      <c r="T13" s="318">
        <v>-1449.2</v>
      </c>
      <c r="U13" s="318">
        <f>+V13-R13-S13-T13</f>
        <v>261</v>
      </c>
      <c r="V13" s="765">
        <v>-1754.9</v>
      </c>
      <c r="W13" s="340"/>
      <c r="X13" s="647">
        <v>-813.4</v>
      </c>
      <c r="Y13" s="647">
        <v>-398.7</v>
      </c>
      <c r="Z13" s="647">
        <v>0</v>
      </c>
      <c r="AA13" s="647">
        <v>0</v>
      </c>
      <c r="AB13" s="1146">
        <f>+X13+Y13+Z13+AC13+AA13</f>
        <v>-1212.0999999999999</v>
      </c>
    </row>
    <row r="14" spans="2:28">
      <c r="B14" s="334" t="s">
        <v>1328</v>
      </c>
      <c r="C14" s="24"/>
      <c r="D14" s="24"/>
      <c r="E14" s="18"/>
      <c r="F14" s="335"/>
      <c r="G14" s="335"/>
      <c r="H14" s="335"/>
      <c r="I14" s="335"/>
      <c r="J14" s="1624"/>
      <c r="K14" s="60"/>
      <c r="L14" s="335"/>
      <c r="M14" s="335"/>
      <c r="N14" s="335"/>
      <c r="O14" s="335"/>
      <c r="P14" s="1624"/>
      <c r="R14" s="335"/>
      <c r="S14" s="335"/>
      <c r="T14" s="335"/>
      <c r="U14" s="335"/>
      <c r="V14" s="1624"/>
      <c r="X14" s="692"/>
      <c r="Y14" s="692"/>
      <c r="Z14" s="692"/>
      <c r="AA14" s="692"/>
      <c r="AB14" s="1223"/>
    </row>
    <row r="15" spans="2:28">
      <c r="B15" s="79" t="s">
        <v>1329</v>
      </c>
      <c r="C15" s="25"/>
      <c r="D15" s="25"/>
      <c r="E15" s="23"/>
      <c r="F15" s="401">
        <v>-94.6</v>
      </c>
      <c r="G15" s="401">
        <v>-202.2</v>
      </c>
      <c r="H15" s="401">
        <v>-83.1</v>
      </c>
      <c r="I15" s="401">
        <f>+J15-F15-G15-H15</f>
        <v>-17.200000000000017</v>
      </c>
      <c r="J15" s="1625">
        <v>-397.1</v>
      </c>
      <c r="K15" s="60"/>
      <c r="L15" s="401">
        <v>62.4</v>
      </c>
      <c r="M15" s="401">
        <v>161.30000000000001</v>
      </c>
      <c r="N15" s="401">
        <v>14.8</v>
      </c>
      <c r="O15" s="401">
        <f>+P15-L15-M15-N15</f>
        <v>308.60000000000002</v>
      </c>
      <c r="P15" s="1625">
        <v>547.1</v>
      </c>
      <c r="R15" s="401">
        <v>104.2</v>
      </c>
      <c r="S15" s="401">
        <v>91.8</v>
      </c>
      <c r="T15" s="401">
        <v>336.6</v>
      </c>
      <c r="U15" s="401">
        <f>+V15-R15-S15-T15</f>
        <v>-57.600000000000023</v>
      </c>
      <c r="V15" s="1625">
        <v>475</v>
      </c>
      <c r="W15" s="340"/>
      <c r="X15" s="693">
        <v>208.8</v>
      </c>
      <c r="Y15" s="693">
        <v>100.2</v>
      </c>
      <c r="Z15" s="693">
        <v>0</v>
      </c>
      <c r="AA15" s="693">
        <v>0</v>
      </c>
      <c r="AB15" s="1224">
        <f>+X15+Y15+Z15+AA15</f>
        <v>309</v>
      </c>
    </row>
    <row r="16" spans="2:28">
      <c r="B16" s="132" t="s">
        <v>1322</v>
      </c>
      <c r="C16" s="24"/>
      <c r="D16" s="24"/>
      <c r="E16" s="18"/>
      <c r="F16" s="335"/>
      <c r="G16" s="335"/>
      <c r="H16" s="335"/>
      <c r="I16" s="335"/>
      <c r="J16" s="1624"/>
      <c r="K16" s="60"/>
      <c r="L16" s="335"/>
      <c r="M16" s="335"/>
      <c r="N16" s="335"/>
      <c r="O16" s="335"/>
      <c r="P16" s="1624"/>
      <c r="R16" s="335"/>
      <c r="S16" s="335"/>
      <c r="T16" s="335"/>
      <c r="U16" s="335"/>
      <c r="V16" s="1624"/>
      <c r="W16" s="340"/>
      <c r="X16" s="692"/>
      <c r="Y16" s="692"/>
      <c r="Z16" s="692"/>
      <c r="AA16" s="692"/>
      <c r="AB16" s="1223"/>
    </row>
    <row r="17" spans="2:28">
      <c r="B17" s="145" t="s">
        <v>1323</v>
      </c>
      <c r="C17" s="242"/>
      <c r="D17" s="242"/>
      <c r="E17" s="103"/>
      <c r="F17" s="1748">
        <f>+F13+F15</f>
        <v>419</v>
      </c>
      <c r="G17" s="1748">
        <f>+G13+G15</f>
        <v>730.09999999999991</v>
      </c>
      <c r="H17" s="1748">
        <f>+H13+H15</f>
        <v>422.9</v>
      </c>
      <c r="I17" s="1748">
        <f>+I13+I15</f>
        <v>45.30000000000021</v>
      </c>
      <c r="J17" s="1749">
        <f>+J13+J15</f>
        <v>1617.3000000000002</v>
      </c>
      <c r="K17" s="153"/>
      <c r="L17" s="1748">
        <f>+L13+L15</f>
        <v>-163.4</v>
      </c>
      <c r="M17" s="1748">
        <f>+M13+M15</f>
        <v>-423.99999999999994</v>
      </c>
      <c r="N17" s="1748">
        <f>+N13+N15</f>
        <v>-7.8999999999999986</v>
      </c>
      <c r="O17" s="1748">
        <f>+O13+O15</f>
        <v>-1010.2999999999998</v>
      </c>
      <c r="P17" s="1749">
        <f>+P13+P15</f>
        <v>-1605.6</v>
      </c>
      <c r="R17" s="1748">
        <f>+R13+R15</f>
        <v>-166</v>
      </c>
      <c r="S17" s="1748">
        <f>+S13+S15</f>
        <v>-204.7</v>
      </c>
      <c r="T17" s="1748">
        <f>+T13+T15</f>
        <v>-1112.5999999999999</v>
      </c>
      <c r="U17" s="1748">
        <f>+U13+U15</f>
        <v>203.39999999999998</v>
      </c>
      <c r="V17" s="1749">
        <f>+V13+V15</f>
        <v>-1279.9000000000001</v>
      </c>
      <c r="W17" s="1747"/>
      <c r="X17" s="1099">
        <f>+X13+X15</f>
        <v>-604.59999999999991</v>
      </c>
      <c r="Y17" s="1099">
        <f>+Y13+Y15</f>
        <v>-298.5</v>
      </c>
      <c r="Z17" s="1099">
        <f>+Z13+Z15</f>
        <v>0</v>
      </c>
      <c r="AA17" s="1099">
        <f>+AA13+AA15</f>
        <v>0</v>
      </c>
      <c r="AB17" s="1225">
        <f>+AB13+AB15</f>
        <v>-903.09999999999991</v>
      </c>
    </row>
    <row r="18" spans="2:28">
      <c r="F18" s="53"/>
      <c r="G18" s="53"/>
      <c r="H18" s="53"/>
      <c r="I18" s="53"/>
      <c r="J18" s="53"/>
      <c r="L18" s="53"/>
      <c r="M18" s="53"/>
      <c r="N18" s="53"/>
      <c r="O18" s="53"/>
      <c r="P18" s="53"/>
      <c r="R18" s="53"/>
      <c r="S18" s="53"/>
      <c r="T18" s="53"/>
      <c r="U18" s="53"/>
      <c r="V18" s="53"/>
      <c r="X18" s="340"/>
      <c r="Y18" s="340"/>
      <c r="Z18" s="340"/>
      <c r="AA18" s="340"/>
      <c r="AB18" s="340"/>
    </row>
    <row r="19" spans="2:28">
      <c r="B19" s="1101" t="s">
        <v>1324</v>
      </c>
      <c r="C19" s="24"/>
      <c r="D19" s="24"/>
      <c r="E19" s="18"/>
      <c r="F19" s="53"/>
      <c r="G19" s="53"/>
      <c r="H19" s="53"/>
      <c r="I19" s="53"/>
      <c r="J19" s="53"/>
      <c r="L19" s="53"/>
      <c r="M19" s="53"/>
      <c r="N19" s="53"/>
      <c r="O19" s="53"/>
      <c r="P19" s="53"/>
      <c r="R19" s="53"/>
      <c r="S19" s="53"/>
      <c r="T19" s="53"/>
      <c r="U19" s="53"/>
      <c r="V19" s="53"/>
      <c r="X19" s="340"/>
      <c r="Y19" s="340"/>
      <c r="Z19" s="340"/>
      <c r="AA19" s="340"/>
      <c r="AB19" s="340"/>
    </row>
    <row r="20" spans="2:28">
      <c r="B20" s="1102" t="s">
        <v>1325</v>
      </c>
      <c r="E20" s="60"/>
      <c r="F20" s="53"/>
      <c r="G20" s="53"/>
      <c r="H20" s="53"/>
      <c r="I20" s="53"/>
      <c r="J20" s="53"/>
      <c r="L20" s="53"/>
      <c r="M20" s="53"/>
      <c r="N20" s="53"/>
      <c r="O20" s="53"/>
      <c r="P20" s="53"/>
      <c r="R20" s="53"/>
      <c r="S20" s="53"/>
      <c r="T20" s="53"/>
      <c r="U20" s="53"/>
      <c r="V20" s="53"/>
      <c r="X20" s="340"/>
      <c r="Y20" s="340"/>
      <c r="Z20" s="340"/>
      <c r="AA20" s="340"/>
      <c r="AB20" s="340"/>
    </row>
    <row r="21" spans="2:28">
      <c r="B21" s="334" t="s">
        <v>1326</v>
      </c>
      <c r="C21" s="24"/>
      <c r="D21" s="24"/>
      <c r="E21" s="18"/>
      <c r="F21" s="335"/>
      <c r="G21" s="335"/>
      <c r="H21" s="335"/>
      <c r="I21" s="335"/>
      <c r="J21" s="1624"/>
      <c r="K21" s="60"/>
      <c r="L21" s="642"/>
      <c r="M21" s="642"/>
      <c r="N21" s="642"/>
      <c r="O21" s="335"/>
      <c r="P21" s="1624"/>
      <c r="R21" s="642"/>
      <c r="S21" s="642"/>
      <c r="T21" s="642"/>
      <c r="U21" s="335"/>
      <c r="V21" s="1624"/>
      <c r="X21" s="1274"/>
      <c r="Y21" s="1274"/>
      <c r="Z21" s="1274"/>
      <c r="AA21" s="692"/>
      <c r="AB21" s="1223"/>
    </row>
    <row r="22" spans="2:28">
      <c r="B22" s="79" t="s">
        <v>1327</v>
      </c>
      <c r="C22" s="25"/>
      <c r="D22" s="25"/>
      <c r="E22" s="23"/>
      <c r="F22" s="401">
        <v>170</v>
      </c>
      <c r="G22" s="401">
        <v>300.39999999999998</v>
      </c>
      <c r="H22" s="401">
        <v>399.2</v>
      </c>
      <c r="I22" s="401">
        <f>+J22-F22-G22-H22</f>
        <v>421.80000000000013</v>
      </c>
      <c r="J22" s="1625">
        <v>1291.4000000000001</v>
      </c>
      <c r="K22" s="60"/>
      <c r="L22" s="477">
        <v>414.9</v>
      </c>
      <c r="M22" s="477">
        <v>618.29999999999995</v>
      </c>
      <c r="N22" s="477">
        <v>387.3</v>
      </c>
      <c r="O22" s="401">
        <f>+P22-L22-M22-N22</f>
        <v>427.30000000000013</v>
      </c>
      <c r="P22" s="1625">
        <v>1847.8</v>
      </c>
      <c r="R22" s="477">
        <v>358.3</v>
      </c>
      <c r="S22" s="477">
        <v>503.2</v>
      </c>
      <c r="T22" s="477">
        <v>388.9</v>
      </c>
      <c r="U22" s="401">
        <f>+V22-R22-S22-T22</f>
        <v>408.00000000000011</v>
      </c>
      <c r="V22" s="1625">
        <v>1658.4</v>
      </c>
      <c r="W22" s="340"/>
      <c r="X22" s="1750">
        <v>455.9</v>
      </c>
      <c r="Y22" s="1750">
        <v>364</v>
      </c>
      <c r="Z22" s="1750">
        <v>0</v>
      </c>
      <c r="AA22" s="693">
        <v>0</v>
      </c>
      <c r="AB22" s="1224">
        <f>+X22+Y22+Z22+AA22</f>
        <v>819.9</v>
      </c>
    </row>
    <row r="23" spans="2:28">
      <c r="B23" s="50" t="s">
        <v>1318</v>
      </c>
      <c r="C23" s="63"/>
      <c r="D23" s="63"/>
      <c r="E23" s="28"/>
      <c r="F23" s="318">
        <v>49.9</v>
      </c>
      <c r="G23" s="318">
        <v>45.1</v>
      </c>
      <c r="H23" s="318">
        <v>-50.6</v>
      </c>
      <c r="I23" s="318">
        <f>+J23-F23-G23-H23</f>
        <v>70.699999999999989</v>
      </c>
      <c r="J23" s="765">
        <v>115.1</v>
      </c>
      <c r="K23" s="60"/>
      <c r="L23" s="1168">
        <v>58.1</v>
      </c>
      <c r="M23" s="1168">
        <v>26.9</v>
      </c>
      <c r="N23" s="1168">
        <v>79.599999999999994</v>
      </c>
      <c r="O23" s="318">
        <f>+P23-L23-M23-N23</f>
        <v>-196.7</v>
      </c>
      <c r="P23" s="765">
        <v>-32.1</v>
      </c>
      <c r="R23" s="1753">
        <v>-33.299999999999997</v>
      </c>
      <c r="S23" s="1753">
        <v>-55</v>
      </c>
      <c r="T23" s="1168">
        <v>-8.1</v>
      </c>
      <c r="U23" s="318">
        <f>+V23-R23-S23-T23</f>
        <v>-114.20000000000002</v>
      </c>
      <c r="V23" s="765">
        <v>-210.6</v>
      </c>
      <c r="W23" s="340"/>
      <c r="X23" s="1751">
        <v>-64</v>
      </c>
      <c r="Y23" s="1751">
        <v>-62.3</v>
      </c>
      <c r="Z23" s="1751">
        <v>0</v>
      </c>
      <c r="AA23" s="647">
        <v>0</v>
      </c>
      <c r="AB23" s="1146">
        <f>+X23+Y23+Z23+AA23</f>
        <v>-126.3</v>
      </c>
    </row>
    <row r="24" spans="2:28">
      <c r="B24" s="48" t="s">
        <v>2088</v>
      </c>
      <c r="C24" s="122"/>
      <c r="D24" s="122"/>
      <c r="E24" s="123"/>
      <c r="F24" s="336">
        <f>+F22+F23</f>
        <v>219.9</v>
      </c>
      <c r="G24" s="336">
        <f>+G22+G23</f>
        <v>345.5</v>
      </c>
      <c r="H24" s="336">
        <f>+H22+H23</f>
        <v>348.59999999999997</v>
      </c>
      <c r="I24" s="336">
        <f>+I22+I23</f>
        <v>492.50000000000011</v>
      </c>
      <c r="J24" s="1331">
        <f>+J22+J23</f>
        <v>1406.5</v>
      </c>
      <c r="K24" s="153"/>
      <c r="L24" s="1428">
        <f>+L22+L23</f>
        <v>473</v>
      </c>
      <c r="M24" s="1428">
        <f>+M22+M23</f>
        <v>645.19999999999993</v>
      </c>
      <c r="N24" s="1428">
        <f>+N22+N23</f>
        <v>466.9</v>
      </c>
      <c r="O24" s="336">
        <f>+O22+O23</f>
        <v>230.60000000000014</v>
      </c>
      <c r="P24" s="1331">
        <f>+P22+P23</f>
        <v>1815.7</v>
      </c>
      <c r="R24" s="1428">
        <f>+R22+R23</f>
        <v>325</v>
      </c>
      <c r="S24" s="1428">
        <f>+S22+S23</f>
        <v>448.2</v>
      </c>
      <c r="T24" s="1428">
        <f>+T22+T23</f>
        <v>380.79999999999995</v>
      </c>
      <c r="U24" s="336">
        <f>+U22+U23</f>
        <v>293.80000000000007</v>
      </c>
      <c r="V24" s="1331">
        <f>+V22+V23</f>
        <v>1447.8000000000002</v>
      </c>
      <c r="W24" s="1747"/>
      <c r="X24" s="1752">
        <f>+X22+X23</f>
        <v>391.9</v>
      </c>
      <c r="Y24" s="1752">
        <f>+Y22+Y23</f>
        <v>301.7</v>
      </c>
      <c r="Z24" s="1752">
        <f>+Z22+Z23</f>
        <v>0</v>
      </c>
      <c r="AA24" s="1100">
        <f>+AA22+AA23</f>
        <v>0</v>
      </c>
      <c r="AB24" s="1226">
        <f>+AB22+AB23</f>
        <v>693.6</v>
      </c>
    </row>
    <row r="25" spans="2:28">
      <c r="F25" s="53"/>
      <c r="G25" s="53"/>
      <c r="H25" s="53"/>
      <c r="I25" s="53"/>
      <c r="J25" s="53"/>
      <c r="L25" s="53"/>
      <c r="M25" s="53"/>
      <c r="N25" s="53"/>
      <c r="O25" s="53"/>
      <c r="P25" s="53"/>
      <c r="R25" s="53"/>
      <c r="S25" s="53"/>
      <c r="T25" s="53"/>
      <c r="U25" s="53"/>
      <c r="V25" s="53"/>
      <c r="W25" s="340"/>
      <c r="X25" s="340"/>
      <c r="Y25" s="340"/>
      <c r="Z25" s="340"/>
      <c r="AA25" s="340"/>
      <c r="AB25" s="340"/>
    </row>
    <row r="26" spans="2:28">
      <c r="B26" s="48" t="s">
        <v>1826</v>
      </c>
      <c r="C26" s="122"/>
      <c r="D26" s="122"/>
      <c r="E26" s="123"/>
      <c r="F26" s="336">
        <f>+F17+F24</f>
        <v>638.9</v>
      </c>
      <c r="G26" s="336">
        <f>+G17+G24</f>
        <v>1075.5999999999999</v>
      </c>
      <c r="H26" s="336">
        <f>+H17+H24</f>
        <v>771.5</v>
      </c>
      <c r="I26" s="336">
        <f>+I17+I24</f>
        <v>537.8000000000003</v>
      </c>
      <c r="J26" s="1331">
        <f>+J17+J24</f>
        <v>3023.8</v>
      </c>
      <c r="K26" s="153"/>
      <c r="L26" s="336">
        <f>+L17+L24</f>
        <v>309.60000000000002</v>
      </c>
      <c r="M26" s="336">
        <f>+M17+M24</f>
        <v>221.2</v>
      </c>
      <c r="N26" s="336">
        <f>+N17+N24</f>
        <v>459</v>
      </c>
      <c r="O26" s="336">
        <f>+O17+O24</f>
        <v>-779.6999999999997</v>
      </c>
      <c r="P26" s="1331">
        <f>+P17+P24</f>
        <v>210.10000000000014</v>
      </c>
      <c r="R26" s="336">
        <f>+R17+R24</f>
        <v>159</v>
      </c>
      <c r="S26" s="336">
        <f>+S17+S24</f>
        <v>243.5</v>
      </c>
      <c r="T26" s="336">
        <f>+T17+T24</f>
        <v>-731.8</v>
      </c>
      <c r="U26" s="336">
        <f>+U17+U24</f>
        <v>497.20000000000005</v>
      </c>
      <c r="V26" s="1331">
        <f>+V17+V24</f>
        <v>167.90000000000009</v>
      </c>
      <c r="W26" s="1747"/>
      <c r="X26" s="1100">
        <f>+X17+X24</f>
        <v>-212.69999999999993</v>
      </c>
      <c r="Y26" s="1100">
        <f>+Y17+Y24</f>
        <v>3.1999999999999886</v>
      </c>
      <c r="Z26" s="1100">
        <f>+Z17+Z24</f>
        <v>0</v>
      </c>
      <c r="AA26" s="1100">
        <f>+AA17+AA24</f>
        <v>0</v>
      </c>
      <c r="AB26" s="1226">
        <f>+AB17+AB24</f>
        <v>-209.49999999999989</v>
      </c>
    </row>
    <row r="29" spans="2:28">
      <c r="B29" s="11" t="s">
        <v>2090</v>
      </c>
    </row>
    <row r="31" spans="2:28">
      <c r="B31" s="1101" t="s">
        <v>1317</v>
      </c>
      <c r="C31" s="24"/>
      <c r="D31" s="24"/>
      <c r="E31" s="18"/>
      <c r="F31" s="2071">
        <v>2022</v>
      </c>
      <c r="G31" s="2077"/>
      <c r="H31" s="2077"/>
      <c r="I31" s="2077"/>
      <c r="J31" s="2072"/>
      <c r="L31" s="2071">
        <v>2023</v>
      </c>
      <c r="M31" s="2077"/>
      <c r="N31" s="2077"/>
      <c r="O31" s="2077"/>
      <c r="P31" s="2072"/>
      <c r="R31" s="2071">
        <v>2024</v>
      </c>
      <c r="S31" s="2077"/>
      <c r="T31" s="2077"/>
      <c r="U31" s="2077"/>
      <c r="V31" s="2072"/>
    </row>
    <row r="32" spans="2:28">
      <c r="B32" s="1102" t="s">
        <v>1321</v>
      </c>
      <c r="E32" s="60"/>
      <c r="F32" s="39" t="s">
        <v>761</v>
      </c>
      <c r="G32" s="39" t="s">
        <v>778</v>
      </c>
      <c r="H32" s="39" t="s">
        <v>779</v>
      </c>
      <c r="I32" s="39" t="s">
        <v>148</v>
      </c>
      <c r="J32" s="1222" t="s">
        <v>780</v>
      </c>
      <c r="L32" s="39" t="s">
        <v>761</v>
      </c>
      <c r="M32" s="39" t="s">
        <v>778</v>
      </c>
      <c r="N32" s="39" t="s">
        <v>779</v>
      </c>
      <c r="O32" s="39" t="s">
        <v>148</v>
      </c>
      <c r="P32" s="1222" t="s">
        <v>780</v>
      </c>
      <c r="R32" s="39" t="s">
        <v>761</v>
      </c>
      <c r="S32" s="39" t="s">
        <v>778</v>
      </c>
      <c r="T32" s="39" t="s">
        <v>779</v>
      </c>
      <c r="U32" s="39" t="s">
        <v>148</v>
      </c>
      <c r="V32" s="1222" t="s">
        <v>780</v>
      </c>
    </row>
    <row r="33" spans="2:22">
      <c r="B33" s="1102" t="s">
        <v>1320</v>
      </c>
      <c r="E33" s="60"/>
    </row>
    <row r="34" spans="2:22">
      <c r="B34" s="50" t="s">
        <v>1317</v>
      </c>
      <c r="C34" s="63"/>
      <c r="D34" s="63"/>
      <c r="E34" s="28"/>
      <c r="F34" s="318">
        <v>513.6</v>
      </c>
      <c r="G34" s="318">
        <v>932.3</v>
      </c>
      <c r="H34" s="318">
        <v>506</v>
      </c>
      <c r="I34" s="318">
        <f>+J34-F34-G34-H34</f>
        <v>62.500000000000227</v>
      </c>
      <c r="J34" s="765">
        <v>2014.4</v>
      </c>
      <c r="L34" s="318">
        <v>-225.8</v>
      </c>
      <c r="M34" s="318">
        <v>-585.29999999999995</v>
      </c>
      <c r="N34" s="318">
        <v>-22.7</v>
      </c>
      <c r="O34" s="318">
        <f>+P34-L34-M34-N34</f>
        <v>-1318.8999999999999</v>
      </c>
      <c r="P34" s="765">
        <v>-2152.6999999999998</v>
      </c>
      <c r="R34" s="318">
        <v>-270.2</v>
      </c>
      <c r="S34" s="318">
        <v>-296.5</v>
      </c>
      <c r="T34" s="318">
        <v>-1449.2</v>
      </c>
      <c r="U34" s="318">
        <f>+V34-R34-S34-T34</f>
        <v>261</v>
      </c>
      <c r="V34" s="765">
        <v>-1754.9</v>
      </c>
    </row>
    <row r="35" spans="2:22">
      <c r="B35" s="334" t="s">
        <v>1328</v>
      </c>
      <c r="C35" s="24"/>
      <c r="D35" s="24"/>
      <c r="E35" s="18"/>
      <c r="F35" s="335"/>
      <c r="G35" s="335"/>
      <c r="H35" s="335"/>
      <c r="I35" s="335"/>
      <c r="J35" s="1624"/>
      <c r="L35" s="335"/>
      <c r="M35" s="335"/>
      <c r="N35" s="335"/>
      <c r="O35" s="335"/>
      <c r="P35" s="1624"/>
      <c r="R35" s="335"/>
      <c r="S35" s="335"/>
      <c r="T35" s="335"/>
      <c r="U35" s="335"/>
      <c r="V35" s="1624"/>
    </row>
    <row r="36" spans="2:22">
      <c r="B36" s="79" t="s">
        <v>1329</v>
      </c>
      <c r="C36" s="25"/>
      <c r="D36" s="25"/>
      <c r="E36" s="23"/>
      <c r="F36" s="401">
        <v>-94.6</v>
      </c>
      <c r="G36" s="401">
        <v>-202.2</v>
      </c>
      <c r="H36" s="401">
        <v>-83.1</v>
      </c>
      <c r="I36" s="401">
        <f>+J36-F36-G36-H36</f>
        <v>-17.200000000000017</v>
      </c>
      <c r="J36" s="1625">
        <v>-397.1</v>
      </c>
      <c r="L36" s="401">
        <v>62.4</v>
      </c>
      <c r="M36" s="401">
        <v>161.30000000000001</v>
      </c>
      <c r="N36" s="401">
        <v>14.8</v>
      </c>
      <c r="O36" s="401">
        <f>+P36-L36-M36-N36</f>
        <v>308.60000000000002</v>
      </c>
      <c r="P36" s="1625">
        <v>547.1</v>
      </c>
      <c r="R36" s="401">
        <v>104.2</v>
      </c>
      <c r="S36" s="401">
        <v>91.8</v>
      </c>
      <c r="T36" s="401">
        <v>336.6</v>
      </c>
      <c r="U36" s="401">
        <f>+V36-R36-S36-T36</f>
        <v>-57.600000000000023</v>
      </c>
      <c r="V36" s="1625">
        <v>475</v>
      </c>
    </row>
    <row r="37" spans="2:22">
      <c r="B37" s="132" t="s">
        <v>1322</v>
      </c>
      <c r="C37" s="24"/>
      <c r="D37" s="24"/>
      <c r="E37" s="18"/>
      <c r="F37" s="335"/>
      <c r="G37" s="335"/>
      <c r="H37" s="335"/>
      <c r="I37" s="335"/>
      <c r="J37" s="1624"/>
      <c r="L37" s="335"/>
      <c r="M37" s="335"/>
      <c r="N37" s="335"/>
      <c r="O37" s="335"/>
      <c r="P37" s="1624"/>
      <c r="R37" s="335"/>
      <c r="S37" s="335"/>
      <c r="T37" s="335"/>
      <c r="U37" s="335"/>
      <c r="V37" s="1624"/>
    </row>
    <row r="38" spans="2:22">
      <c r="B38" s="145" t="s">
        <v>1323</v>
      </c>
      <c r="C38" s="242"/>
      <c r="D38" s="242"/>
      <c r="E38" s="103"/>
      <c r="F38" s="1748">
        <f>+F34+F36</f>
        <v>419</v>
      </c>
      <c r="G38" s="1748">
        <f>+G34+G36</f>
        <v>730.09999999999991</v>
      </c>
      <c r="H38" s="1748">
        <f>+H34+H36</f>
        <v>422.9</v>
      </c>
      <c r="I38" s="1748">
        <f>+I34+I36</f>
        <v>45.30000000000021</v>
      </c>
      <c r="J38" s="1749">
        <f>+J34+J36</f>
        <v>1617.3000000000002</v>
      </c>
      <c r="L38" s="1748">
        <f>+L34+L36</f>
        <v>-163.4</v>
      </c>
      <c r="M38" s="1748">
        <f>+M34+M36</f>
        <v>-423.99999999999994</v>
      </c>
      <c r="N38" s="1748">
        <f>+N34+N36</f>
        <v>-7.8999999999999986</v>
      </c>
      <c r="O38" s="1748">
        <f>+O34+O36</f>
        <v>-1010.2999999999998</v>
      </c>
      <c r="P38" s="1749">
        <f>+P34+P36</f>
        <v>-1605.6</v>
      </c>
      <c r="R38" s="1748">
        <f>+R34+R36</f>
        <v>-166</v>
      </c>
      <c r="S38" s="1748">
        <f>+S34+S36</f>
        <v>-204.7</v>
      </c>
      <c r="T38" s="1748">
        <f>+T34+T36</f>
        <v>-1112.5999999999999</v>
      </c>
      <c r="U38" s="1748">
        <f>+U34+U36</f>
        <v>203.39999999999998</v>
      </c>
      <c r="V38" s="1749">
        <f>+V34+V36</f>
        <v>-1279.9000000000001</v>
      </c>
    </row>
    <row r="39" spans="2:22">
      <c r="F39" s="53"/>
      <c r="G39" s="53"/>
      <c r="H39" s="53"/>
      <c r="I39" s="53"/>
      <c r="J39" s="53"/>
      <c r="L39" s="53"/>
      <c r="M39" s="53"/>
      <c r="N39" s="53"/>
      <c r="O39" s="53"/>
      <c r="P39" s="53"/>
      <c r="R39" s="53"/>
      <c r="S39" s="53"/>
      <c r="T39" s="53"/>
      <c r="U39" s="53"/>
      <c r="V39" s="53"/>
    </row>
    <row r="40" spans="2:22">
      <c r="B40" s="1101" t="s">
        <v>1324</v>
      </c>
      <c r="C40" s="24"/>
      <c r="D40" s="24"/>
      <c r="E40" s="18"/>
      <c r="F40" s="53"/>
      <c r="G40" s="53"/>
      <c r="H40" s="53"/>
      <c r="I40" s="53"/>
      <c r="J40" s="53"/>
      <c r="L40" s="53"/>
      <c r="M40" s="53"/>
      <c r="N40" s="53"/>
      <c r="O40" s="53"/>
      <c r="P40" s="53"/>
      <c r="R40" s="53"/>
      <c r="S40" s="53"/>
      <c r="T40" s="53"/>
      <c r="U40" s="53"/>
      <c r="V40" s="53"/>
    </row>
    <row r="41" spans="2:22">
      <c r="B41" s="1102" t="s">
        <v>1325</v>
      </c>
      <c r="E41" s="60"/>
      <c r="F41" s="53"/>
      <c r="G41" s="53"/>
      <c r="H41" s="53"/>
      <c r="I41" s="53"/>
      <c r="J41" s="53"/>
      <c r="L41" s="53"/>
      <c r="M41" s="53"/>
      <c r="N41" s="53"/>
      <c r="O41" s="53"/>
      <c r="P41" s="53"/>
      <c r="R41" s="53"/>
      <c r="S41" s="53"/>
      <c r="T41" s="53"/>
      <c r="U41" s="53"/>
      <c r="V41" s="53"/>
    </row>
    <row r="42" spans="2:22">
      <c r="B42" s="334" t="s">
        <v>1326</v>
      </c>
      <c r="C42" s="24"/>
      <c r="D42" s="24"/>
      <c r="E42" s="18"/>
      <c r="F42" s="335"/>
      <c r="G42" s="335"/>
      <c r="H42" s="335"/>
      <c r="I42" s="335"/>
      <c r="J42" s="1624"/>
      <c r="L42" s="642"/>
      <c r="M42" s="642"/>
      <c r="N42" s="642"/>
      <c r="O42" s="335"/>
      <c r="P42" s="1624"/>
      <c r="R42" s="642"/>
      <c r="S42" s="642"/>
      <c r="T42" s="642"/>
      <c r="U42" s="335"/>
      <c r="V42" s="1624"/>
    </row>
    <row r="43" spans="2:22">
      <c r="B43" s="79" t="s">
        <v>1327</v>
      </c>
      <c r="C43" s="25"/>
      <c r="D43" s="25"/>
      <c r="E43" s="23"/>
      <c r="F43" s="401">
        <v>170</v>
      </c>
      <c r="G43" s="401">
        <v>300.39999999999998</v>
      </c>
      <c r="H43" s="401">
        <v>399.2</v>
      </c>
      <c r="I43" s="401">
        <f>+J43-F43-G43-H43</f>
        <v>421.80000000000013</v>
      </c>
      <c r="J43" s="1625">
        <v>1291.4000000000001</v>
      </c>
      <c r="L43" s="477">
        <v>414.9</v>
      </c>
      <c r="M43" s="477">
        <v>618.29999999999995</v>
      </c>
      <c r="N43" s="477">
        <v>387.3</v>
      </c>
      <c r="O43" s="401">
        <f>+P43-L43-M43-N43</f>
        <v>427.30000000000013</v>
      </c>
      <c r="P43" s="1625">
        <v>1847.8</v>
      </c>
      <c r="R43" s="477">
        <v>358.3</v>
      </c>
      <c r="S43" s="477">
        <v>503.2</v>
      </c>
      <c r="T43" s="477">
        <v>388.9</v>
      </c>
      <c r="U43" s="401">
        <f>+V43-R43-S43-T43</f>
        <v>408.00000000000011</v>
      </c>
      <c r="V43" s="1625">
        <v>1658.4</v>
      </c>
    </row>
    <row r="44" spans="2:22">
      <c r="B44" s="50" t="s">
        <v>1318</v>
      </c>
      <c r="C44" s="63"/>
      <c r="D44" s="63"/>
      <c r="E44" s="28"/>
      <c r="F44" s="318">
        <v>49.9</v>
      </c>
      <c r="G44" s="318">
        <v>45.1</v>
      </c>
      <c r="H44" s="318">
        <v>-50.6</v>
      </c>
      <c r="I44" s="318">
        <f>+J44-F44-G44-H44</f>
        <v>70.699999999999989</v>
      </c>
      <c r="J44" s="765">
        <v>115.1</v>
      </c>
      <c r="L44" s="1168">
        <v>58.1</v>
      </c>
      <c r="M44" s="1168">
        <v>26.9</v>
      </c>
      <c r="N44" s="1168">
        <v>79.599999999999994</v>
      </c>
      <c r="O44" s="318">
        <f>+P44-L44-M44-N44</f>
        <v>-196.7</v>
      </c>
      <c r="P44" s="765">
        <v>-32.1</v>
      </c>
      <c r="R44" s="1753">
        <v>80.7</v>
      </c>
      <c r="S44" s="1753">
        <v>-69</v>
      </c>
      <c r="T44" s="1168">
        <v>-8.1</v>
      </c>
      <c r="U44" s="318">
        <f>+V44-R44-S44-T44</f>
        <v>-214.20000000000002</v>
      </c>
      <c r="V44" s="765">
        <v>-210.6</v>
      </c>
    </row>
    <row r="45" spans="2:22">
      <c r="B45" s="48" t="s">
        <v>1319</v>
      </c>
      <c r="C45" s="122"/>
      <c r="D45" s="122"/>
      <c r="E45" s="123"/>
      <c r="F45" s="336">
        <f>+F43+F44</f>
        <v>219.9</v>
      </c>
      <c r="G45" s="336">
        <f>+G43+G44</f>
        <v>345.5</v>
      </c>
      <c r="H45" s="336">
        <f>+H43+H44</f>
        <v>348.59999999999997</v>
      </c>
      <c r="I45" s="336">
        <f>+I43+I44</f>
        <v>492.50000000000011</v>
      </c>
      <c r="J45" s="1331">
        <f>+J43+J44</f>
        <v>1406.5</v>
      </c>
      <c r="L45" s="1428">
        <f>+L43+L44</f>
        <v>473</v>
      </c>
      <c r="M45" s="1428">
        <f>+M43+M44</f>
        <v>645.19999999999993</v>
      </c>
      <c r="N45" s="1428">
        <f>+N43+N44</f>
        <v>466.9</v>
      </c>
      <c r="O45" s="336">
        <f>+O43+O44</f>
        <v>230.60000000000014</v>
      </c>
      <c r="P45" s="1331">
        <f>+P43+P44</f>
        <v>1815.7</v>
      </c>
      <c r="R45" s="1428">
        <f>+R43+R44</f>
        <v>439</v>
      </c>
      <c r="S45" s="1428">
        <f>+S43+S44</f>
        <v>434.2</v>
      </c>
      <c r="T45" s="1428">
        <f>+T43+T44</f>
        <v>380.79999999999995</v>
      </c>
      <c r="U45" s="336">
        <f>+U43+U44</f>
        <v>193.8000000000001</v>
      </c>
      <c r="V45" s="1331">
        <f>+V43+V44</f>
        <v>1447.8000000000002</v>
      </c>
    </row>
    <row r="46" spans="2:22">
      <c r="F46" s="53"/>
      <c r="G46" s="53"/>
      <c r="H46" s="53"/>
      <c r="I46" s="53"/>
      <c r="J46" s="53"/>
      <c r="L46" s="53"/>
      <c r="M46" s="53"/>
      <c r="N46" s="53"/>
      <c r="O46" s="53"/>
      <c r="P46" s="53"/>
      <c r="R46" s="53"/>
      <c r="S46" s="53"/>
      <c r="T46" s="53"/>
      <c r="U46" s="53"/>
      <c r="V46" s="53"/>
    </row>
    <row r="47" spans="2:22">
      <c r="B47" s="48" t="s">
        <v>1826</v>
      </c>
      <c r="C47" s="122"/>
      <c r="D47" s="122"/>
      <c r="E47" s="123"/>
      <c r="F47" s="336">
        <f>+F38+F45</f>
        <v>638.9</v>
      </c>
      <c r="G47" s="336">
        <f>+G38+G45</f>
        <v>1075.5999999999999</v>
      </c>
      <c r="H47" s="336">
        <f>+H38+H45</f>
        <v>771.5</v>
      </c>
      <c r="I47" s="336">
        <f>+I38+I45</f>
        <v>537.8000000000003</v>
      </c>
      <c r="J47" s="1331">
        <f>+J38+J45</f>
        <v>3023.8</v>
      </c>
      <c r="L47" s="336">
        <f>+L38+L45</f>
        <v>309.60000000000002</v>
      </c>
      <c r="M47" s="336">
        <f>+M38+M45</f>
        <v>221.2</v>
      </c>
      <c r="N47" s="336">
        <f>+N38+N45</f>
        <v>459</v>
      </c>
      <c r="O47" s="336">
        <f>+O38+O45</f>
        <v>-779.6999999999997</v>
      </c>
      <c r="P47" s="1331">
        <f>+P38+P45</f>
        <v>210.10000000000014</v>
      </c>
      <c r="R47" s="336">
        <f>+R38+R45</f>
        <v>273</v>
      </c>
      <c r="S47" s="336">
        <f>+S38+S45</f>
        <v>229.5</v>
      </c>
      <c r="T47" s="336">
        <f>+T38+T45</f>
        <v>-731.8</v>
      </c>
      <c r="U47" s="336">
        <f>+U38+U45</f>
        <v>397.20000000000005</v>
      </c>
      <c r="V47" s="1331">
        <f>+V38+V45</f>
        <v>167.90000000000009</v>
      </c>
    </row>
  </sheetData>
  <mergeCells count="7">
    <mergeCell ref="F10:J10"/>
    <mergeCell ref="L10:P10"/>
    <mergeCell ref="R10:V10"/>
    <mergeCell ref="X10:AB10"/>
    <mergeCell ref="R31:V31"/>
    <mergeCell ref="L31:P31"/>
    <mergeCell ref="F31:J31"/>
  </mergeCells>
  <phoneticPr fontId="16" type="noConversion"/>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C7994-A49A-DF4D-B62F-85D6AD8FA4BA}">
  <sheetPr codeName="Sheet10">
    <pageSetUpPr fitToPage="1"/>
  </sheetPr>
  <dimension ref="B2:AZ232"/>
  <sheetViews>
    <sheetView topLeftCell="A135" zoomScaleNormal="100" workbookViewId="0">
      <selection activeCell="E8" sqref="E8"/>
    </sheetView>
  </sheetViews>
  <sheetFormatPr baseColWidth="10" defaultRowHeight="16"/>
  <cols>
    <col min="3" max="5" width="9" customWidth="1"/>
    <col min="6" max="6" width="6.1640625" customWidth="1"/>
    <col min="7" max="17" width="10.1640625" customWidth="1"/>
    <col min="18" max="18" width="9.83203125" customWidth="1"/>
    <col min="19" max="19" width="7.6640625" customWidth="1"/>
    <col min="20" max="20" width="9.83203125" customWidth="1"/>
    <col min="21" max="21" width="8.5" customWidth="1"/>
    <col min="22" max="22" width="7.33203125" customWidth="1"/>
    <col min="23" max="23" width="8.33203125" customWidth="1"/>
    <col min="24" max="25" width="7.33203125" customWidth="1"/>
    <col min="26" max="27" width="9.83203125" customWidth="1"/>
    <col min="28" max="30" width="7.33203125" customWidth="1"/>
    <col min="31" max="31" width="7.83203125" customWidth="1"/>
    <col min="32" max="32" width="1.83203125" customWidth="1"/>
    <col min="33" max="33" width="9.83203125" customWidth="1"/>
    <col min="34" max="34" width="6.6640625" customWidth="1"/>
    <col min="35" max="35" width="7.83203125" customWidth="1"/>
    <col min="36" max="36" width="6.33203125" customWidth="1"/>
    <col min="37" max="37" width="1.5" customWidth="1"/>
    <col min="38" max="38" width="6.83203125" customWidth="1"/>
    <col min="39" max="39" width="7.83203125" customWidth="1"/>
    <col min="40" max="40" width="6.1640625" customWidth="1"/>
    <col min="41" max="41" width="1.5" customWidth="1"/>
    <col min="42" max="42" width="6.83203125" customWidth="1"/>
    <col min="43" max="43" width="7.83203125" customWidth="1"/>
    <col min="44" max="44" width="6.33203125" customWidth="1"/>
    <col min="45" max="45" width="1.5" customWidth="1"/>
    <col min="46" max="46" width="6.83203125" customWidth="1"/>
  </cols>
  <sheetData>
    <row r="2" spans="3:52" ht="19">
      <c r="G2" s="1" t="s">
        <v>1253</v>
      </c>
      <c r="H2" s="619"/>
      <c r="I2" s="619"/>
      <c r="J2" s="619"/>
      <c r="K2" s="619"/>
      <c r="L2" s="619"/>
      <c r="M2" s="619"/>
      <c r="N2" s="619"/>
      <c r="P2" s="474" t="s">
        <v>989</v>
      </c>
    </row>
    <row r="3" spans="3:52">
      <c r="G3" s="619"/>
      <c r="H3" s="619"/>
      <c r="I3" s="619"/>
      <c r="J3" s="619"/>
      <c r="K3" s="619"/>
      <c r="L3" s="619"/>
      <c r="M3" s="619"/>
      <c r="N3" s="619"/>
    </row>
    <row r="4" spans="3:52">
      <c r="C4" s="708"/>
      <c r="D4" s="709" t="s">
        <v>773</v>
      </c>
      <c r="G4" s="708"/>
      <c r="H4" s="709" t="s">
        <v>773</v>
      </c>
      <c r="I4" s="2149" t="s">
        <v>774</v>
      </c>
      <c r="J4" s="2150"/>
      <c r="K4" s="710" t="s">
        <v>993</v>
      </c>
      <c r="L4" s="710"/>
      <c r="M4" s="711"/>
      <c r="N4" s="712"/>
    </row>
    <row r="5" spans="3:52" ht="16" customHeight="1">
      <c r="C5" s="707">
        <v>2014</v>
      </c>
      <c r="D5" s="1699">
        <f>21176168/1000000</f>
        <v>21.176168000000001</v>
      </c>
      <c r="G5" s="707">
        <v>2014</v>
      </c>
      <c r="H5" s="625">
        <v>21176168</v>
      </c>
      <c r="I5" s="1003">
        <f>+H5-H28</f>
        <v>-23834</v>
      </c>
      <c r="J5" s="968">
        <f>+I5/H28</f>
        <v>-1.1242451769580021E-3</v>
      </c>
      <c r="K5" s="1004"/>
      <c r="L5" s="1005"/>
      <c r="M5" s="1006"/>
      <c r="N5" s="1007"/>
      <c r="P5" s="40" t="s">
        <v>918</v>
      </c>
      <c r="Q5" s="554" t="s">
        <v>14</v>
      </c>
      <c r="R5" s="554" t="s">
        <v>954</v>
      </c>
      <c r="S5" s="554"/>
      <c r="T5" s="554" t="s">
        <v>968</v>
      </c>
      <c r="U5" s="548"/>
      <c r="AG5" s="11" t="s">
        <v>1693</v>
      </c>
      <c r="AT5" s="502" t="s">
        <v>1302</v>
      </c>
    </row>
    <row r="6" spans="3:52">
      <c r="C6" s="707">
        <v>2017</v>
      </c>
      <c r="D6" s="1699">
        <f>27751073/1000000</f>
        <v>27.751073000000002</v>
      </c>
      <c r="G6" s="707">
        <v>2015</v>
      </c>
      <c r="H6" s="625">
        <v>22213859</v>
      </c>
      <c r="I6" s="1003">
        <f t="shared" ref="I6:I13" si="0">+H6-H5</f>
        <v>1037691</v>
      </c>
      <c r="J6" s="968">
        <f t="shared" ref="J6:J13" si="1">+I6/H5</f>
        <v>4.9002775195210013E-2</v>
      </c>
      <c r="K6" s="1004" t="s">
        <v>1000</v>
      </c>
      <c r="L6" s="1005"/>
      <c r="M6" s="1006"/>
      <c r="N6" s="1007"/>
      <c r="P6" s="634"/>
      <c r="Q6" s="42" t="s">
        <v>15</v>
      </c>
      <c r="R6" s="42" t="s">
        <v>919</v>
      </c>
      <c r="S6" s="42"/>
      <c r="T6" s="42" t="s">
        <v>15</v>
      </c>
      <c r="U6" s="547"/>
      <c r="AG6" s="839">
        <v>45612</v>
      </c>
      <c r="AH6" s="2071" t="s">
        <v>1250</v>
      </c>
      <c r="AI6" s="2077"/>
      <c r="AJ6" s="2072"/>
      <c r="AK6" s="42"/>
      <c r="AL6" s="2071" t="s">
        <v>1694</v>
      </c>
      <c r="AM6" s="2077"/>
      <c r="AN6" s="2072"/>
      <c r="AO6" s="42"/>
      <c r="AP6" s="2071" t="s">
        <v>1155</v>
      </c>
      <c r="AQ6" s="2077"/>
      <c r="AR6" s="2072"/>
      <c r="AT6" s="503" t="s">
        <v>1666</v>
      </c>
      <c r="AV6" s="502" t="s">
        <v>1083</v>
      </c>
      <c r="AX6" s="1442" t="s">
        <v>1083</v>
      </c>
      <c r="AZ6" s="502" t="s">
        <v>1083</v>
      </c>
    </row>
    <row r="7" spans="3:52">
      <c r="G7" s="707">
        <v>2016</v>
      </c>
      <c r="H7" s="625">
        <v>23093566</v>
      </c>
      <c r="I7" s="1003">
        <f t="shared" si="0"/>
        <v>879707</v>
      </c>
      <c r="J7" s="968">
        <f t="shared" si="1"/>
        <v>3.9601718908902774E-2</v>
      </c>
      <c r="K7" s="620" t="s">
        <v>999</v>
      </c>
      <c r="L7" s="620"/>
      <c r="M7" s="619"/>
      <c r="N7" s="713"/>
      <c r="P7" s="635">
        <v>2017</v>
      </c>
      <c r="Q7">
        <v>5.0750000000000002</v>
      </c>
      <c r="R7" s="53">
        <v>433</v>
      </c>
      <c r="S7" s="53"/>
      <c r="T7" s="53">
        <f>+Q7*R7</f>
        <v>2197.4749999999999</v>
      </c>
      <c r="U7" s="547"/>
      <c r="AH7" s="491" t="s">
        <v>1458</v>
      </c>
      <c r="AI7" s="491" t="s">
        <v>1692</v>
      </c>
      <c r="AJ7" s="491" t="s">
        <v>1083</v>
      </c>
      <c r="AK7" s="501"/>
      <c r="AL7" s="491" t="s">
        <v>1458</v>
      </c>
      <c r="AM7" s="491" t="s">
        <v>1262</v>
      </c>
      <c r="AN7" s="491" t="s">
        <v>1083</v>
      </c>
      <c r="AO7" s="501"/>
      <c r="AP7" s="491" t="s">
        <v>1458</v>
      </c>
      <c r="AQ7" s="491" t="s">
        <v>1262</v>
      </c>
      <c r="AR7" s="491" t="s">
        <v>1083</v>
      </c>
      <c r="AT7" s="503" t="s">
        <v>170</v>
      </c>
      <c r="AV7" s="504" t="s">
        <v>16</v>
      </c>
      <c r="AX7" s="1443" t="s">
        <v>16</v>
      </c>
      <c r="AZ7" s="504" t="s">
        <v>16</v>
      </c>
    </row>
    <row r="8" spans="3:52">
      <c r="E8" s="779">
        <f>+H8-H5</f>
        <v>6574905</v>
      </c>
      <c r="G8" s="707">
        <v>2017</v>
      </c>
      <c r="H8" s="625">
        <v>27751073</v>
      </c>
      <c r="I8" s="1003">
        <f t="shared" si="0"/>
        <v>4657507</v>
      </c>
      <c r="J8" s="968">
        <f t="shared" si="1"/>
        <v>0.2016798531677611</v>
      </c>
      <c r="K8" s="1004" t="s">
        <v>998</v>
      </c>
      <c r="L8" s="1005"/>
      <c r="M8" s="1006"/>
      <c r="N8" s="1007"/>
      <c r="P8" s="635">
        <v>2016</v>
      </c>
      <c r="Q8">
        <v>1</v>
      </c>
      <c r="R8" s="53">
        <v>555</v>
      </c>
      <c r="S8" s="53"/>
      <c r="T8" s="53">
        <f t="shared" ref="T8:T12" si="2">+Q8*R8</f>
        <v>555</v>
      </c>
      <c r="U8" s="547"/>
      <c r="V8" s="619"/>
      <c r="AG8" s="26">
        <v>2016</v>
      </c>
      <c r="AH8" s="1447">
        <v>8.1</v>
      </c>
      <c r="AI8" s="1378">
        <f t="shared" ref="AI8:AI17" si="3">+AH8/AT8*1000</f>
        <v>350.64935064935059</v>
      </c>
      <c r="AJ8" s="264" t="s">
        <v>40</v>
      </c>
      <c r="AK8" s="475"/>
      <c r="AL8" s="693">
        <v>28.4</v>
      </c>
      <c r="AM8" s="401">
        <f t="shared" ref="AM8:AM17" si="4">(+AL8/AT8)*1000</f>
        <v>1229.4372294372292</v>
      </c>
      <c r="AN8" s="1449" t="s">
        <v>40</v>
      </c>
      <c r="AO8" s="333"/>
      <c r="AP8" s="693">
        <v>13.8</v>
      </c>
      <c r="AQ8" s="401">
        <f t="shared" ref="AQ8:AQ17" si="5">+AP8/AT8*1000</f>
        <v>597.40259740259739</v>
      </c>
      <c r="AR8" s="264" t="s">
        <v>40</v>
      </c>
      <c r="AT8" s="1437">
        <v>23.1</v>
      </c>
      <c r="AV8" s="785" t="s">
        <v>40</v>
      </c>
      <c r="AX8" s="1444" t="s">
        <v>40</v>
      </c>
      <c r="AZ8" s="785" t="s">
        <v>40</v>
      </c>
    </row>
    <row r="9" spans="3:52" ht="16" customHeight="1">
      <c r="G9" s="707">
        <v>2018</v>
      </c>
      <c r="H9" s="625">
        <v>27237947</v>
      </c>
      <c r="I9" s="1003">
        <f t="shared" si="0"/>
        <v>-513126</v>
      </c>
      <c r="J9" s="968">
        <f t="shared" si="1"/>
        <v>-1.849031206829372E-2</v>
      </c>
      <c r="K9" s="620" t="s">
        <v>994</v>
      </c>
      <c r="L9" s="620"/>
      <c r="M9" s="619"/>
      <c r="N9" s="713"/>
      <c r="P9" s="635">
        <v>2015</v>
      </c>
      <c r="Q9">
        <v>1.1499999999999999</v>
      </c>
      <c r="R9" s="53">
        <v>509</v>
      </c>
      <c r="S9" s="53"/>
      <c r="T9" s="53">
        <f t="shared" si="2"/>
        <v>585.34999999999991</v>
      </c>
      <c r="U9" s="618"/>
      <c r="V9" s="619"/>
      <c r="W9">
        <f>1.96/23.3</f>
        <v>8.4120171673819744E-2</v>
      </c>
      <c r="AG9" s="26">
        <v>2017</v>
      </c>
      <c r="AH9" s="576">
        <v>9.98</v>
      </c>
      <c r="AI9" s="1307">
        <f t="shared" si="3"/>
        <v>358.99280575539569</v>
      </c>
      <c r="AJ9" s="209">
        <f t="shared" ref="AJ9:AJ17" si="6">(+AI9-AI8)/AI8</f>
        <v>2.3794297895017507E-2</v>
      </c>
      <c r="AK9" s="475"/>
      <c r="AL9" s="647">
        <v>39.299999999999997</v>
      </c>
      <c r="AM9" s="318">
        <f t="shared" si="4"/>
        <v>1413.6690647482012</v>
      </c>
      <c r="AN9" s="631">
        <f t="shared" ref="AN9:AN17" si="7">(+AM9-AM8)/AM8</f>
        <v>0.14985054210153004</v>
      </c>
      <c r="AO9" s="333"/>
      <c r="AP9" s="647">
        <v>20.2</v>
      </c>
      <c r="AQ9" s="318">
        <f t="shared" si="5"/>
        <v>726.61870503597117</v>
      </c>
      <c r="AR9" s="209">
        <f t="shared" ref="AR9:AR17" si="8">(+AQ9-AQ8)/AQ8</f>
        <v>0.21629652799499524</v>
      </c>
      <c r="AT9" s="1437">
        <v>27.8</v>
      </c>
      <c r="AV9" s="493">
        <f t="shared" ref="AV9:AV15" si="9">+(AH9-AH8)/AH8</f>
        <v>0.23209876543209887</v>
      </c>
      <c r="AX9" s="1445">
        <f t="shared" ref="AX9:AX17" si="10">(+AL9-AL8)/AL8</f>
        <v>0.38380281690140844</v>
      </c>
      <c r="AZ9" s="209">
        <f t="shared" ref="AZ9:AZ17" si="11">(+AP9-AP8)/AP8</f>
        <v>0.46376811594202888</v>
      </c>
    </row>
    <row r="10" spans="3:52" s="11" customFormat="1" ht="16" customHeight="1">
      <c r="G10" s="707">
        <v>2019</v>
      </c>
      <c r="H10" s="625">
        <v>26831069</v>
      </c>
      <c r="I10" s="1003">
        <f t="shared" si="0"/>
        <v>-406878</v>
      </c>
      <c r="J10" s="968">
        <f t="shared" si="1"/>
        <v>-1.4937909968030997E-2</v>
      </c>
      <c r="K10" s="1004" t="s">
        <v>997</v>
      </c>
      <c r="L10" s="1005"/>
      <c r="M10" s="1006"/>
      <c r="N10" s="1007"/>
      <c r="P10" s="635">
        <v>2013</v>
      </c>
      <c r="Q10">
        <v>1</v>
      </c>
      <c r="R10" s="53">
        <v>418</v>
      </c>
      <c r="S10" s="53"/>
      <c r="T10" s="53">
        <f t="shared" si="2"/>
        <v>418</v>
      </c>
      <c r="U10" s="547"/>
      <c r="V10" s="619"/>
      <c r="AF10"/>
      <c r="AG10" s="26">
        <v>2018</v>
      </c>
      <c r="AH10" s="576">
        <v>12.02</v>
      </c>
      <c r="AI10" s="1307">
        <f t="shared" si="3"/>
        <v>441.91176470588232</v>
      </c>
      <c r="AJ10" s="209">
        <f t="shared" si="6"/>
        <v>0.23097665920075433</v>
      </c>
      <c r="AK10" s="475"/>
      <c r="AL10" s="647">
        <v>38.799999999999997</v>
      </c>
      <c r="AM10" s="318">
        <f t="shared" si="4"/>
        <v>1426.4705882352941</v>
      </c>
      <c r="AN10" s="631">
        <f t="shared" si="7"/>
        <v>9.0555306091904247E-3</v>
      </c>
      <c r="AO10" s="333"/>
      <c r="AP10" s="647">
        <v>19.7</v>
      </c>
      <c r="AQ10" s="318">
        <f t="shared" si="5"/>
        <v>724.26470588235293</v>
      </c>
      <c r="AR10" s="209">
        <f t="shared" si="8"/>
        <v>-3.2396622015142215E-3</v>
      </c>
      <c r="AT10" s="1437">
        <v>27.2</v>
      </c>
      <c r="AV10" s="493">
        <f t="shared" si="9"/>
        <v>0.20440881763527044</v>
      </c>
      <c r="AX10" s="1445">
        <f t="shared" si="10"/>
        <v>-1.2722646310432571E-2</v>
      </c>
      <c r="AZ10" s="209">
        <f t="shared" si="11"/>
        <v>-2.4752475247524754E-2</v>
      </c>
    </row>
    <row r="11" spans="3:52">
      <c r="G11" s="707">
        <v>2020</v>
      </c>
      <c r="H11" s="625">
        <v>26176506</v>
      </c>
      <c r="I11" s="1003">
        <f t="shared" si="0"/>
        <v>-654563</v>
      </c>
      <c r="J11" s="968">
        <f t="shared" si="1"/>
        <v>-2.4395710808242488E-2</v>
      </c>
      <c r="K11" s="620" t="s">
        <v>996</v>
      </c>
      <c r="L11" s="620"/>
      <c r="M11" s="619"/>
      <c r="N11" s="713"/>
      <c r="P11" s="635">
        <v>2010</v>
      </c>
      <c r="Q11">
        <v>0.56299999999999994</v>
      </c>
      <c r="R11" s="53">
        <v>355</v>
      </c>
      <c r="S11" s="53"/>
      <c r="T11" s="53">
        <f t="shared" si="2"/>
        <v>199.86499999999998</v>
      </c>
      <c r="U11" s="547"/>
      <c r="V11" s="11"/>
      <c r="W11" s="11"/>
      <c r="AG11" s="26">
        <v>2019</v>
      </c>
      <c r="AH11" s="576">
        <v>13.26</v>
      </c>
      <c r="AI11" s="1307">
        <f t="shared" si="3"/>
        <v>494.77611940298505</v>
      </c>
      <c r="AJ11" s="209">
        <f t="shared" si="6"/>
        <v>0.11962649315816924</v>
      </c>
      <c r="AK11" s="475"/>
      <c r="AL11" s="647">
        <v>39</v>
      </c>
      <c r="AM11" s="318">
        <f t="shared" si="4"/>
        <v>1455.2238805970148</v>
      </c>
      <c r="AN11" s="631">
        <f t="shared" si="7"/>
        <v>2.015694722264956E-2</v>
      </c>
      <c r="AO11" s="333"/>
      <c r="AP11" s="647">
        <v>20.6</v>
      </c>
      <c r="AQ11" s="318">
        <f t="shared" si="5"/>
        <v>768.6567164179105</v>
      </c>
      <c r="AR11" s="209">
        <f t="shared" si="8"/>
        <v>6.1292522160769851E-2</v>
      </c>
      <c r="AT11" s="1437">
        <v>26.8</v>
      </c>
      <c r="AV11" s="209">
        <f t="shared" si="9"/>
        <v>0.1031613976705491</v>
      </c>
      <c r="AX11" s="1445">
        <f t="shared" si="10"/>
        <v>5.1546391752578056E-3</v>
      </c>
      <c r="AZ11" s="209">
        <f t="shared" si="11"/>
        <v>4.5685279187817368E-2</v>
      </c>
    </row>
    <row r="12" spans="3:52">
      <c r="G12" s="707">
        <v>2021</v>
      </c>
      <c r="H12" s="625">
        <v>23865600</v>
      </c>
      <c r="I12" s="1003">
        <f t="shared" si="0"/>
        <v>-2310906</v>
      </c>
      <c r="J12" s="968">
        <f t="shared" si="1"/>
        <v>-8.8281682818936946E-2</v>
      </c>
      <c r="K12" s="1004" t="s">
        <v>995</v>
      </c>
      <c r="L12" s="1005"/>
      <c r="M12" s="122"/>
      <c r="N12" s="123"/>
      <c r="P12" s="635">
        <v>2009</v>
      </c>
      <c r="Q12">
        <v>2.88</v>
      </c>
      <c r="R12" s="53">
        <v>347</v>
      </c>
      <c r="S12" s="53"/>
      <c r="T12" s="53">
        <f t="shared" si="2"/>
        <v>999.36</v>
      </c>
      <c r="U12" s="547"/>
      <c r="V12" s="11"/>
      <c r="W12" s="11"/>
      <c r="AG12" s="26">
        <v>2020</v>
      </c>
      <c r="AH12" s="576">
        <v>14.72</v>
      </c>
      <c r="AI12" s="1307">
        <f t="shared" si="3"/>
        <v>561.83206106870227</v>
      </c>
      <c r="AJ12" s="209">
        <f t="shared" si="6"/>
        <v>0.13552784590054462</v>
      </c>
      <c r="AK12" s="475"/>
      <c r="AL12" s="647">
        <v>43.2</v>
      </c>
      <c r="AM12" s="318">
        <f t="shared" si="4"/>
        <v>1648.8549618320612</v>
      </c>
      <c r="AN12" s="631">
        <f t="shared" si="7"/>
        <v>0.13305930710510883</v>
      </c>
      <c r="AO12" s="333"/>
      <c r="AP12" s="647">
        <v>22.7</v>
      </c>
      <c r="AQ12" s="318">
        <f t="shared" si="5"/>
        <v>866.41221374045801</v>
      </c>
      <c r="AR12" s="209">
        <f t="shared" si="8"/>
        <v>0.12717705476913949</v>
      </c>
      <c r="AT12" s="1437">
        <v>26.2</v>
      </c>
      <c r="AV12" s="209">
        <f t="shared" si="9"/>
        <v>0.11010558069381605</v>
      </c>
      <c r="AX12" s="1445">
        <f t="shared" si="10"/>
        <v>0.10769230769230777</v>
      </c>
      <c r="AZ12" s="209">
        <f t="shared" si="11"/>
        <v>0.10194174757281542</v>
      </c>
    </row>
    <row r="13" spans="3:52">
      <c r="G13" s="635">
        <v>2022</v>
      </c>
      <c r="H13" s="623">
        <v>23325305</v>
      </c>
      <c r="I13" s="1074">
        <f t="shared" si="0"/>
        <v>-540295</v>
      </c>
      <c r="J13" s="1075">
        <f t="shared" si="1"/>
        <v>-2.2639070461249664E-2</v>
      </c>
      <c r="K13" s="1002" t="s">
        <v>994</v>
      </c>
      <c r="L13" s="1002"/>
      <c r="M13" s="11"/>
      <c r="N13" s="153"/>
      <c r="P13" s="69"/>
      <c r="Q13" s="11">
        <f>SUM(Q7:Q12)</f>
        <v>11.667999999999999</v>
      </c>
      <c r="R13" s="469">
        <f>+T13/Q13</f>
        <v>424.67003770997599</v>
      </c>
      <c r="S13" s="469"/>
      <c r="T13" s="469">
        <f>SUM(T7:T12)</f>
        <v>4955.0499999999993</v>
      </c>
      <c r="U13" s="547" t="s">
        <v>771</v>
      </c>
      <c r="V13" s="619"/>
      <c r="W13" s="619"/>
      <c r="AG13" s="26">
        <v>2021</v>
      </c>
      <c r="AH13" s="576">
        <v>17.809999999999999</v>
      </c>
      <c r="AI13" s="1307">
        <f t="shared" si="3"/>
        <v>745.18828451882848</v>
      </c>
      <c r="AJ13" s="209">
        <f t="shared" si="6"/>
        <v>0.3263541477169366</v>
      </c>
      <c r="AK13" s="475"/>
      <c r="AL13" s="647">
        <v>53</v>
      </c>
      <c r="AM13" s="318">
        <f t="shared" si="4"/>
        <v>2217.5732217573227</v>
      </c>
      <c r="AN13" s="631">
        <f t="shared" si="7"/>
        <v>0.34491709282504279</v>
      </c>
      <c r="AO13" s="333"/>
      <c r="AP13" s="647">
        <v>25.9</v>
      </c>
      <c r="AQ13" s="318">
        <f t="shared" si="5"/>
        <v>1083.6820083682007</v>
      </c>
      <c r="AR13" s="209">
        <f t="shared" si="8"/>
        <v>0.25076954269809953</v>
      </c>
      <c r="AT13" s="1438">
        <v>23.9</v>
      </c>
      <c r="AV13" s="209">
        <f t="shared" si="9"/>
        <v>0.20991847826086943</v>
      </c>
      <c r="AX13" s="1445">
        <f t="shared" si="10"/>
        <v>0.22685185185185178</v>
      </c>
      <c r="AZ13" s="209">
        <f t="shared" si="11"/>
        <v>0.1409691629955947</v>
      </c>
    </row>
    <row r="14" spans="3:52">
      <c r="G14" s="707">
        <v>2023</v>
      </c>
      <c r="H14" s="625">
        <v>23003248</v>
      </c>
      <c r="I14" s="625">
        <f>+H14-H13</f>
        <v>-322057</v>
      </c>
      <c r="J14" s="1184">
        <f t="shared" ref="J14" si="12">+I14/H13</f>
        <v>-1.3807193517941137E-2</v>
      </c>
      <c r="K14" s="1186" t="s">
        <v>1383</v>
      </c>
      <c r="L14" s="1185"/>
      <c r="M14" s="122"/>
      <c r="N14" s="123"/>
      <c r="P14" s="69"/>
      <c r="R14" s="53"/>
      <c r="S14" s="53"/>
      <c r="T14" s="53"/>
      <c r="U14" s="547"/>
      <c r="V14" s="619"/>
      <c r="W14" s="619"/>
      <c r="AG14" s="26">
        <v>2022</v>
      </c>
      <c r="AH14" s="576">
        <v>22.3</v>
      </c>
      <c r="AI14" s="1307">
        <f t="shared" si="3"/>
        <v>957.08154506437768</v>
      </c>
      <c r="AJ14" s="209">
        <f t="shared" si="6"/>
        <v>0.28434862027168029</v>
      </c>
      <c r="AK14" s="475"/>
      <c r="AL14" s="647">
        <v>55.5</v>
      </c>
      <c r="AM14" s="318">
        <f t="shared" si="4"/>
        <v>2381.9742489270384</v>
      </c>
      <c r="AN14" s="631">
        <f t="shared" si="7"/>
        <v>7.4135557535022711E-2</v>
      </c>
      <c r="AO14" s="333"/>
      <c r="AP14" s="647">
        <v>29.6</v>
      </c>
      <c r="AQ14" s="318">
        <f t="shared" si="5"/>
        <v>1270.3862660944205</v>
      </c>
      <c r="AR14" s="209">
        <f t="shared" si="8"/>
        <v>0.17228694052728391</v>
      </c>
      <c r="AT14" s="1438">
        <v>23.3</v>
      </c>
      <c r="AV14" s="631">
        <f t="shared" si="9"/>
        <v>0.25210555867490186</v>
      </c>
      <c r="AX14" s="1445">
        <f t="shared" si="10"/>
        <v>4.716981132075472E-2</v>
      </c>
      <c r="AZ14" s="209">
        <f t="shared" si="11"/>
        <v>0.14285714285714299</v>
      </c>
    </row>
    <row r="15" spans="3:52" ht="17" thickBot="1">
      <c r="P15" s="700" t="s">
        <v>990</v>
      </c>
      <c r="Q15" s="633">
        <f>+Q7+Q8+Q9</f>
        <v>7.2249999999999996</v>
      </c>
      <c r="R15" s="593">
        <f>+T15/Q15</f>
        <v>461.98269896193773</v>
      </c>
      <c r="S15" s="593"/>
      <c r="T15" s="593">
        <f t="shared" ref="T15" si="13">+T7+T8+T9</f>
        <v>3337.8249999999998</v>
      </c>
      <c r="U15" s="541" t="s">
        <v>772</v>
      </c>
      <c r="V15" s="619"/>
      <c r="W15" s="619"/>
      <c r="AG15" s="26">
        <v>2023</v>
      </c>
      <c r="AH15" s="576">
        <v>22.9</v>
      </c>
      <c r="AI15" s="1307">
        <f t="shared" si="3"/>
        <v>995.65217391304338</v>
      </c>
      <c r="AJ15" s="1450">
        <f t="shared" si="6"/>
        <v>4.0300253460713496E-2</v>
      </c>
      <c r="AK15" s="475"/>
      <c r="AL15" s="647">
        <v>64.8</v>
      </c>
      <c r="AM15" s="318">
        <f t="shared" si="4"/>
        <v>2817.391304347826</v>
      </c>
      <c r="AN15" s="996">
        <f t="shared" si="7"/>
        <v>0.18279670975323159</v>
      </c>
      <c r="AO15" s="333"/>
      <c r="AP15" s="647">
        <v>33.4</v>
      </c>
      <c r="AQ15" s="318">
        <f t="shared" si="5"/>
        <v>1452.173913043478</v>
      </c>
      <c r="AR15" s="209">
        <f t="shared" si="8"/>
        <v>0.14309635722679187</v>
      </c>
      <c r="AT15" s="1438">
        <v>23</v>
      </c>
      <c r="AV15" s="631">
        <f t="shared" si="9"/>
        <v>2.690582959641246E-2</v>
      </c>
      <c r="AX15" s="1445">
        <f t="shared" si="10"/>
        <v>0.16756756756756752</v>
      </c>
      <c r="AZ15" s="209">
        <f t="shared" si="11"/>
        <v>0.12837837837837829</v>
      </c>
    </row>
    <row r="16" spans="3:52" ht="17" thickBot="1">
      <c r="E16" s="779">
        <f>+H14-H8</f>
        <v>-4747825</v>
      </c>
      <c r="G16" s="630" t="s">
        <v>19</v>
      </c>
      <c r="H16" s="626">
        <f>+H8-H13</f>
        <v>4425768</v>
      </c>
      <c r="I16" s="627">
        <f>+H16/H8</f>
        <v>0.15948096853768501</v>
      </c>
      <c r="J16" s="627"/>
      <c r="K16" s="621" t="s">
        <v>1004</v>
      </c>
      <c r="L16" s="621"/>
      <c r="M16" s="621"/>
      <c r="N16" s="622"/>
      <c r="Q16" s="632"/>
      <c r="R16" s="623"/>
      <c r="S16" s="623"/>
      <c r="T16" s="623"/>
      <c r="U16" s="620"/>
      <c r="V16" s="619"/>
      <c r="W16" s="619"/>
      <c r="AG16" s="730" t="s">
        <v>1060</v>
      </c>
      <c r="AH16" s="731">
        <f>+AH15*(1+AV16)</f>
        <v>25.419</v>
      </c>
      <c r="AI16" s="1067">
        <f t="shared" si="3"/>
        <v>1160.6849315068496</v>
      </c>
      <c r="AJ16" s="1451">
        <f t="shared" si="6"/>
        <v>0.16575342465753462</v>
      </c>
      <c r="AK16" s="53"/>
      <c r="AL16" s="848">
        <v>70</v>
      </c>
      <c r="AM16" s="1067">
        <f t="shared" si="4"/>
        <v>3196.3470319634703</v>
      </c>
      <c r="AN16" s="1451">
        <f t="shared" si="7"/>
        <v>0.13450589097468854</v>
      </c>
      <c r="AO16" s="476"/>
      <c r="AP16" s="848">
        <v>36</v>
      </c>
      <c r="AQ16" s="719">
        <f t="shared" si="5"/>
        <v>1643.8356164383563</v>
      </c>
      <c r="AR16" s="732">
        <f t="shared" si="8"/>
        <v>0.13198261012222157</v>
      </c>
      <c r="AT16" s="1439">
        <v>21.9</v>
      </c>
      <c r="AV16" s="732">
        <v>0.11</v>
      </c>
      <c r="AX16" s="732">
        <f t="shared" si="10"/>
        <v>8.0246913580246965E-2</v>
      </c>
      <c r="AZ16" s="732">
        <f t="shared" si="11"/>
        <v>7.7844311377245554E-2</v>
      </c>
    </row>
    <row r="17" spans="5:52">
      <c r="E17">
        <f>+E16/H8</f>
        <v>-0.17108617746059765</v>
      </c>
      <c r="G17" s="544" t="s">
        <v>917</v>
      </c>
      <c r="H17" s="629">
        <f>+H16/5</f>
        <v>885153.6</v>
      </c>
      <c r="I17" s="628">
        <f>+I16/5</f>
        <v>3.1896193707537004E-2</v>
      </c>
      <c r="J17" s="628"/>
      <c r="K17" s="525" t="s">
        <v>1005</v>
      </c>
      <c r="L17" s="525"/>
      <c r="M17" s="525"/>
      <c r="N17" s="541"/>
      <c r="P17">
        <f>179.8/257589</f>
        <v>6.9801117283734948E-4</v>
      </c>
      <c r="Q17" s="632"/>
      <c r="R17" s="623"/>
      <c r="S17" s="623"/>
      <c r="T17" s="623"/>
      <c r="U17" s="620"/>
      <c r="V17" s="619"/>
      <c r="W17" s="619"/>
      <c r="AG17" s="735" t="s">
        <v>1061</v>
      </c>
      <c r="AH17" s="736">
        <f>+AH16*(1+AV17)</f>
        <v>26.435760000000002</v>
      </c>
      <c r="AI17" s="1441">
        <f t="shared" si="3"/>
        <v>1229.5702325581397</v>
      </c>
      <c r="AJ17" s="1336">
        <f t="shared" si="6"/>
        <v>5.9348837209302181E-2</v>
      </c>
      <c r="AK17" s="475"/>
      <c r="AL17" s="868">
        <v>75</v>
      </c>
      <c r="AM17" s="740">
        <f t="shared" si="4"/>
        <v>3488.3720930232557</v>
      </c>
      <c r="AN17" s="1336">
        <f t="shared" si="7"/>
        <v>9.1362126245847164E-2</v>
      </c>
      <c r="AO17" s="333"/>
      <c r="AP17" s="868">
        <v>38</v>
      </c>
      <c r="AQ17" s="740">
        <f t="shared" si="5"/>
        <v>1767.4418604651164</v>
      </c>
      <c r="AR17" s="737">
        <f t="shared" si="8"/>
        <v>7.5193798449612409E-2</v>
      </c>
      <c r="AT17" s="1440">
        <v>21.5</v>
      </c>
      <c r="AV17" s="737">
        <v>0.04</v>
      </c>
      <c r="AX17" s="737">
        <f t="shared" si="10"/>
        <v>7.1428571428571425E-2</v>
      </c>
      <c r="AZ17" s="737">
        <f t="shared" si="11"/>
        <v>5.5555555555555552E-2</v>
      </c>
    </row>
    <row r="18" spans="5:52">
      <c r="Q18" s="632"/>
      <c r="R18" s="623"/>
      <c r="S18" s="623"/>
      <c r="T18" s="623"/>
      <c r="U18" s="620"/>
      <c r="V18" s="619"/>
      <c r="W18" s="619"/>
      <c r="AG18" s="39" t="s">
        <v>1691</v>
      </c>
      <c r="AH18" s="1436">
        <v>0.14000000000000001</v>
      </c>
      <c r="AI18" s="1276">
        <v>0.15</v>
      </c>
      <c r="AJ18" s="47"/>
      <c r="AK18" s="1448"/>
      <c r="AL18" s="1436">
        <v>0.11600000000000001</v>
      </c>
      <c r="AM18" s="1436">
        <v>0.123</v>
      </c>
      <c r="AN18" s="47"/>
      <c r="AO18" s="1448"/>
      <c r="AP18" s="1436">
        <v>0.11600000000000001</v>
      </c>
      <c r="AQ18" s="1276">
        <v>0.125</v>
      </c>
      <c r="AR18" s="47"/>
      <c r="AV18" s="47"/>
      <c r="AX18" s="1446"/>
      <c r="AZ18" s="47"/>
    </row>
    <row r="19" spans="5:52">
      <c r="H19" s="779">
        <f>+H14-H8</f>
        <v>-4747825</v>
      </c>
      <c r="I19">
        <f>+H19/H8</f>
        <v>-0.17108617746059765</v>
      </c>
      <c r="P19">
        <v>110528</v>
      </c>
      <c r="Q19" s="632">
        <v>364723</v>
      </c>
      <c r="R19" s="623">
        <f>+P19+Q19</f>
        <v>475251</v>
      </c>
      <c r="S19" s="623"/>
      <c r="T19" s="623">
        <v>363200000</v>
      </c>
      <c r="U19" s="620"/>
      <c r="V19" s="619"/>
      <c r="W19" s="619"/>
    </row>
    <row r="20" spans="5:52">
      <c r="Q20" s="632"/>
      <c r="R20" s="623"/>
      <c r="S20" s="623"/>
      <c r="T20" s="623">
        <f>+T19/R19</f>
        <v>764.2277449179486</v>
      </c>
      <c r="U20" s="620"/>
      <c r="V20" s="619"/>
      <c r="W20" s="619"/>
    </row>
    <row r="21" spans="5:52">
      <c r="G21" s="1011" t="s">
        <v>1294</v>
      </c>
      <c r="H21" s="1008">
        <v>23228539</v>
      </c>
      <c r="I21" s="1009">
        <f>+H21-H13</f>
        <v>-96766</v>
      </c>
      <c r="J21" s="1010">
        <f>+I21/H13</f>
        <v>-4.1485416803767414E-3</v>
      </c>
      <c r="K21" s="1012" t="s">
        <v>1027</v>
      </c>
      <c r="L21" s="1013"/>
      <c r="M21" s="775"/>
      <c r="N21" s="797"/>
      <c r="P21" s="779"/>
      <c r="Q21" s="632"/>
      <c r="R21" s="623"/>
      <c r="S21" s="623"/>
      <c r="T21" s="623"/>
      <c r="U21" s="620"/>
      <c r="V21" s="619"/>
      <c r="W21" s="619"/>
    </row>
    <row r="22" spans="5:52">
      <c r="G22" s="1014" t="s">
        <v>1295</v>
      </c>
      <c r="H22" s="1008">
        <v>23202070</v>
      </c>
      <c r="I22" s="1009">
        <f>+H22-H21</f>
        <v>-26469</v>
      </c>
      <c r="J22" s="1010">
        <f>+I22/H21</f>
        <v>-1.13950343583813E-3</v>
      </c>
      <c r="K22" s="914" t="s">
        <v>1297</v>
      </c>
      <c r="L22" s="775"/>
      <c r="M22" s="775"/>
      <c r="N22" s="797"/>
      <c r="P22" s="779"/>
      <c r="Q22" s="632"/>
      <c r="R22" s="623"/>
      <c r="S22" s="623"/>
      <c r="T22" s="623"/>
      <c r="U22" s="620"/>
      <c r="V22" s="619"/>
      <c r="W22" s="619"/>
    </row>
    <row r="23" spans="5:52">
      <c r="G23" s="1014" t="s">
        <v>1296</v>
      </c>
      <c r="H23" s="1008">
        <v>23115838</v>
      </c>
      <c r="I23" s="1009">
        <f t="shared" ref="I23" si="14">+H23-H22</f>
        <v>-86232</v>
      </c>
      <c r="J23" s="1010">
        <f t="shared" ref="J23" si="15">+I23/H22</f>
        <v>-3.7165649444209073E-3</v>
      </c>
      <c r="K23" s="914" t="s">
        <v>1298</v>
      </c>
      <c r="L23" s="775"/>
      <c r="M23" s="775"/>
      <c r="N23" s="797"/>
      <c r="P23" s="779"/>
      <c r="Q23" s="632"/>
      <c r="R23" s="623"/>
      <c r="S23" s="623"/>
      <c r="T23" s="623"/>
      <c r="U23" s="620"/>
      <c r="V23" s="619"/>
      <c r="W23" s="619"/>
    </row>
    <row r="24" spans="5:52">
      <c r="Q24" s="632"/>
      <c r="R24" s="623"/>
      <c r="S24" s="623"/>
      <c r="T24" s="623"/>
      <c r="U24" s="620"/>
      <c r="V24" s="619"/>
      <c r="W24" s="619"/>
    </row>
    <row r="25" spans="5:52">
      <c r="Q25" s="632"/>
      <c r="R25" s="623"/>
      <c r="S25" s="623"/>
      <c r="T25" s="623"/>
      <c r="U25" s="620"/>
      <c r="V25" s="619"/>
      <c r="W25" s="619"/>
    </row>
    <row r="26" spans="5:52">
      <c r="Q26" s="632"/>
      <c r="R26" s="623"/>
      <c r="S26" s="623"/>
      <c r="T26" s="623"/>
      <c r="U26" s="620"/>
      <c r="V26" s="619"/>
      <c r="W26" s="619"/>
    </row>
    <row r="27" spans="5:52">
      <c r="Q27" s="632"/>
      <c r="R27" s="623"/>
      <c r="S27" s="623"/>
      <c r="T27" s="623"/>
      <c r="U27" s="620"/>
      <c r="V27" s="619"/>
      <c r="W27" s="619"/>
    </row>
    <row r="28" spans="5:52">
      <c r="G28" s="707">
        <v>2013</v>
      </c>
      <c r="H28" s="625">
        <v>21200002</v>
      </c>
      <c r="I28" s="624">
        <f>+H28-H29</f>
        <v>954591</v>
      </c>
      <c r="J28" s="718">
        <f>+I28/H29</f>
        <v>4.7150981523664794E-2</v>
      </c>
      <c r="K28" s="620" t="s">
        <v>1001</v>
      </c>
      <c r="L28" s="620"/>
      <c r="M28" s="619"/>
      <c r="N28" s="713"/>
      <c r="P28" s="1" t="s">
        <v>1384</v>
      </c>
      <c r="Q28" s="632"/>
      <c r="R28" s="623"/>
      <c r="S28" s="623"/>
      <c r="T28" s="623"/>
      <c r="U28" s="620"/>
      <c r="V28" s="619"/>
      <c r="W28" s="619"/>
    </row>
    <row r="29" spans="5:52">
      <c r="G29" s="707">
        <v>2012</v>
      </c>
      <c r="H29" s="625">
        <v>20245411</v>
      </c>
      <c r="I29" s="624">
        <f>+H29-H30</f>
        <v>-130385</v>
      </c>
      <c r="J29" s="718">
        <f>+I29/H30</f>
        <v>-6.3990138103070917E-3</v>
      </c>
      <c r="K29" s="620"/>
      <c r="L29" s="620"/>
      <c r="M29" s="619"/>
      <c r="N29" s="713"/>
      <c r="Q29" s="698"/>
      <c r="R29" s="623"/>
      <c r="S29" s="623"/>
      <c r="T29" s="623"/>
      <c r="U29" s="620"/>
      <c r="V29" s="619"/>
      <c r="W29" s="619"/>
    </row>
    <row r="30" spans="5:52">
      <c r="G30" s="707">
        <v>2011</v>
      </c>
      <c r="H30" s="625">
        <v>20375796</v>
      </c>
      <c r="I30" s="624">
        <f>+H30-H31</f>
        <v>-79451</v>
      </c>
      <c r="J30" s="718">
        <f>+I30/H31</f>
        <v>-3.8841378938127709E-3</v>
      </c>
      <c r="K30" s="620"/>
      <c r="L30" s="620"/>
      <c r="M30" s="619"/>
      <c r="N30" s="713"/>
      <c r="P30" s="40" t="s">
        <v>918</v>
      </c>
      <c r="Q30" s="98" t="s">
        <v>14</v>
      </c>
      <c r="R30" s="98" t="s">
        <v>954</v>
      </c>
      <c r="S30" s="98"/>
      <c r="T30" s="212" t="s">
        <v>968</v>
      </c>
      <c r="U30" s="620"/>
      <c r="V30" s="619"/>
      <c r="W30" s="619"/>
    </row>
    <row r="31" spans="5:52">
      <c r="G31" s="707">
        <v>2010</v>
      </c>
      <c r="H31" s="625">
        <v>20455247</v>
      </c>
      <c r="I31" s="624">
        <f>+H31-H32</f>
        <v>466377</v>
      </c>
      <c r="J31" s="718">
        <f>+I31/H32</f>
        <v>2.333183416571322E-2</v>
      </c>
      <c r="K31" s="620" t="s">
        <v>1002</v>
      </c>
      <c r="L31" s="620"/>
      <c r="M31" s="619"/>
      <c r="N31" s="713"/>
      <c r="P31" s="143"/>
      <c r="Q31" s="102" t="s">
        <v>15</v>
      </c>
      <c r="R31" s="102" t="s">
        <v>919</v>
      </c>
      <c r="S31" s="102"/>
      <c r="T31" s="114" t="s">
        <v>15</v>
      </c>
      <c r="U31" s="620"/>
      <c r="V31" s="619"/>
      <c r="W31" s="619"/>
    </row>
    <row r="32" spans="5:52">
      <c r="G32" s="707">
        <v>2009</v>
      </c>
      <c r="H32" s="625">
        <v>19988870</v>
      </c>
      <c r="I32" s="624">
        <f>+H32-H33</f>
        <v>2502045</v>
      </c>
      <c r="J32" s="718">
        <f>+I32/H33</f>
        <v>0.14308172009498579</v>
      </c>
      <c r="K32" s="620" t="s">
        <v>1003</v>
      </c>
      <c r="L32" s="620"/>
      <c r="M32" s="619"/>
      <c r="N32" s="713"/>
      <c r="P32" s="30">
        <v>2023</v>
      </c>
      <c r="Q32" s="779">
        <v>-475251</v>
      </c>
      <c r="R32" s="53">
        <f>+T32/Q32*1000000</f>
        <v>764.2277449179486</v>
      </c>
      <c r="S32" s="53"/>
      <c r="T32" s="642">
        <v>-363.2</v>
      </c>
      <c r="U32" s="620"/>
      <c r="V32" s="619"/>
      <c r="W32" s="619"/>
    </row>
    <row r="33" spans="3:30">
      <c r="G33" s="707">
        <v>2008</v>
      </c>
      <c r="H33" s="625">
        <v>17486825</v>
      </c>
      <c r="I33" s="624"/>
      <c r="J33" s="717"/>
      <c r="K33" s="714" t="s">
        <v>509</v>
      </c>
      <c r="L33" s="714"/>
      <c r="M33" s="715"/>
      <c r="N33" s="716"/>
      <c r="P33" s="699">
        <v>2022</v>
      </c>
      <c r="Q33" s="641">
        <f>+I13</f>
        <v>-540295</v>
      </c>
      <c r="R33" s="57">
        <v>509</v>
      </c>
      <c r="S33" s="57"/>
      <c r="T33" s="642">
        <f t="shared" ref="T33:T37" si="16">+Q33*R33/1000000</f>
        <v>-275.010155</v>
      </c>
      <c r="U33" s="620"/>
      <c r="V33" s="619"/>
      <c r="W33" s="619"/>
    </row>
    <row r="34" spans="3:30">
      <c r="G34" s="619"/>
      <c r="H34" s="619"/>
      <c r="I34" s="619"/>
      <c r="J34" s="619"/>
      <c r="K34" s="619"/>
      <c r="L34" s="619"/>
      <c r="M34" s="619"/>
      <c r="N34" s="619"/>
      <c r="P34" s="80">
        <v>2021</v>
      </c>
      <c r="Q34" s="643">
        <f>+I12</f>
        <v>-2310906</v>
      </c>
      <c r="R34" s="53">
        <v>490</v>
      </c>
      <c r="S34" s="53"/>
      <c r="T34" s="476">
        <f t="shared" si="16"/>
        <v>-1132.34394</v>
      </c>
      <c r="U34" s="620"/>
      <c r="V34" s="619"/>
      <c r="W34" s="619"/>
    </row>
    <row r="35" spans="3:30" ht="16" customHeight="1">
      <c r="P35" s="80">
        <v>2020</v>
      </c>
      <c r="Q35" s="643">
        <f>+I11</f>
        <v>-654563</v>
      </c>
      <c r="R35" s="53">
        <v>298</v>
      </c>
      <c r="S35" s="53"/>
      <c r="T35" s="476">
        <f t="shared" si="16"/>
        <v>-195.059774</v>
      </c>
      <c r="U35" s="620"/>
      <c r="V35" s="619"/>
      <c r="W35" s="619"/>
    </row>
    <row r="36" spans="3:30">
      <c r="P36" s="80">
        <v>2019</v>
      </c>
      <c r="Q36" s="643">
        <f>+I10</f>
        <v>-406878</v>
      </c>
      <c r="R36" s="53">
        <v>464</v>
      </c>
      <c r="S36" s="53"/>
      <c r="T36" s="476">
        <f t="shared" si="16"/>
        <v>-188.791392</v>
      </c>
      <c r="V36" s="619"/>
    </row>
    <row r="37" spans="3:30">
      <c r="P37" s="80">
        <v>2018</v>
      </c>
      <c r="Q37" s="643">
        <f>+I9</f>
        <v>-513126</v>
      </c>
      <c r="R37" s="53">
        <v>509</v>
      </c>
      <c r="S37" s="53"/>
      <c r="T37" s="476">
        <f t="shared" si="16"/>
        <v>-261.18113399999999</v>
      </c>
      <c r="U37" s="42"/>
      <c r="V37" s="619"/>
    </row>
    <row r="38" spans="3:30">
      <c r="P38" s="39" t="s">
        <v>19</v>
      </c>
      <c r="Q38" s="1078">
        <f>SUM(Q32:Q37)</f>
        <v>-4901019</v>
      </c>
      <c r="R38" s="336">
        <f>+T38/Q38*1000000</f>
        <v>492.87431756538786</v>
      </c>
      <c r="S38" s="336"/>
      <c r="T38" s="336">
        <f>SUM(T32:T37)</f>
        <v>-2415.5863949999998</v>
      </c>
      <c r="U38" s="42"/>
    </row>
    <row r="39" spans="3:30">
      <c r="P39" s="42"/>
      <c r="Q39" s="779"/>
      <c r="R39" s="469"/>
      <c r="S39" s="469"/>
      <c r="T39" s="469"/>
      <c r="U39" s="42"/>
    </row>
    <row r="42" spans="3:30">
      <c r="G42" s="11" t="s">
        <v>1752</v>
      </c>
      <c r="I42" s="42"/>
      <c r="J42" s="42"/>
      <c r="K42" s="42"/>
      <c r="V42">
        <f>+V43/V48</f>
        <v>1.2759170653907494E-2</v>
      </c>
    </row>
    <row r="43" spans="3:30">
      <c r="G43" s="42"/>
      <c r="H43" s="40" t="s">
        <v>1109</v>
      </c>
      <c r="I43" s="71"/>
      <c r="K43" s="42"/>
      <c r="U43" s="42"/>
      <c r="V43" s="42">
        <v>0.17599999999999999</v>
      </c>
    </row>
    <row r="44" spans="3:30">
      <c r="G44" s="39" t="s">
        <v>42</v>
      </c>
      <c r="H44" s="51" t="s">
        <v>959</v>
      </c>
      <c r="I44" s="2071" t="s">
        <v>1630</v>
      </c>
      <c r="J44" s="2072"/>
      <c r="K44" s="40" t="s">
        <v>1108</v>
      </c>
      <c r="L44" s="40" t="s">
        <v>1112</v>
      </c>
      <c r="U44" s="42"/>
      <c r="V44" s="42"/>
    </row>
    <row r="45" spans="3:30">
      <c r="G45" s="40" t="s">
        <v>44</v>
      </c>
      <c r="H45" s="503" t="s">
        <v>1110</v>
      </c>
      <c r="I45" s="39" t="s">
        <v>54</v>
      </c>
      <c r="J45" s="39" t="s">
        <v>39</v>
      </c>
      <c r="K45" s="51" t="s">
        <v>1107</v>
      </c>
      <c r="L45" s="41" t="s">
        <v>1458</v>
      </c>
      <c r="N45">
        <v>1.01</v>
      </c>
      <c r="O45">
        <v>1113</v>
      </c>
      <c r="P45">
        <v>1127</v>
      </c>
      <c r="U45" s="11" t="s">
        <v>1839</v>
      </c>
      <c r="V45" s="501"/>
    </row>
    <row r="46" spans="3:30">
      <c r="G46" s="1187">
        <v>2017</v>
      </c>
      <c r="H46" s="1188">
        <v>27.751000000000001</v>
      </c>
      <c r="I46" s="811"/>
      <c r="J46" s="46"/>
      <c r="K46" s="324"/>
      <c r="L46" s="805"/>
      <c r="N46">
        <v>0.29199999999999998</v>
      </c>
      <c r="O46">
        <v>1380</v>
      </c>
      <c r="P46" s="362">
        <f>+N46*O46</f>
        <v>402.96</v>
      </c>
      <c r="AB46" s="2129" t="s">
        <v>1840</v>
      </c>
      <c r="AC46" s="2129"/>
      <c r="AD46" s="2129"/>
    </row>
    <row r="47" spans="3:30">
      <c r="G47" s="1187">
        <v>2018</v>
      </c>
      <c r="H47" s="1188">
        <v>27.236999999999998</v>
      </c>
      <c r="I47" s="867">
        <f t="shared" ref="I47:I53" si="17">-(+H47-H46)</f>
        <v>0.5140000000000029</v>
      </c>
      <c r="J47" s="869">
        <f>+I47/H46</f>
        <v>1.8521855068285933E-2</v>
      </c>
      <c r="K47" s="324">
        <v>509</v>
      </c>
      <c r="L47" s="805">
        <f t="shared" ref="L47:L52" si="18">+I47*K47/1000</f>
        <v>0.26162600000000147</v>
      </c>
      <c r="N47">
        <f>SUM(N45:N46)</f>
        <v>1.302</v>
      </c>
      <c r="O47" s="53">
        <f>+P47/N47</f>
        <v>1175.084485407066</v>
      </c>
      <c r="P47" s="362">
        <f>SUM(P45:P46)</f>
        <v>1529.96</v>
      </c>
      <c r="U47" s="46" t="s">
        <v>15</v>
      </c>
      <c r="V47" s="1187">
        <v>2019</v>
      </c>
      <c r="W47" s="1187">
        <v>2020</v>
      </c>
      <c r="X47" s="1187">
        <v>2021</v>
      </c>
      <c r="Y47" s="1187">
        <v>2022</v>
      </c>
      <c r="Z47" s="1187">
        <v>2023</v>
      </c>
      <c r="AA47" s="1187" t="s">
        <v>1838</v>
      </c>
      <c r="AB47" s="90" t="s">
        <v>1459</v>
      </c>
      <c r="AC47" s="90" t="s">
        <v>39</v>
      </c>
      <c r="AD47" s="1526" t="s">
        <v>1251</v>
      </c>
    </row>
    <row r="48" spans="3:30">
      <c r="C48">
        <v>1.96</v>
      </c>
      <c r="D48">
        <f>+C48*373</f>
        <v>731.08</v>
      </c>
      <c r="G48" s="1187">
        <v>2019</v>
      </c>
      <c r="H48" s="1188">
        <v>26.831</v>
      </c>
      <c r="I48" s="867">
        <f t="shared" si="17"/>
        <v>0.40599999999999881</v>
      </c>
      <c r="J48" s="869">
        <f t="shared" ref="J48:J53" si="19">+I48/H47</f>
        <v>1.4906193780519104E-2</v>
      </c>
      <c r="K48" s="324">
        <v>464</v>
      </c>
      <c r="L48" s="805">
        <f t="shared" si="18"/>
        <v>0.18838399999999944</v>
      </c>
      <c r="U48" s="438" t="s">
        <v>1837</v>
      </c>
      <c r="V48" s="1523">
        <v>13.794</v>
      </c>
      <c r="W48" s="1523">
        <v>13.782999999999999</v>
      </c>
      <c r="X48" s="1523">
        <v>13.632</v>
      </c>
      <c r="Y48" s="1523">
        <v>13.423</v>
      </c>
      <c r="Z48" s="1523">
        <v>13.132</v>
      </c>
      <c r="AA48" s="1523">
        <v>12.79</v>
      </c>
      <c r="AB48" s="1432">
        <f>+AA48-V48</f>
        <v>-1.0040000000000013</v>
      </c>
      <c r="AC48" s="1250">
        <f>+AB48/V48</f>
        <v>-7.2785268957517857E-2</v>
      </c>
      <c r="AD48" s="1250">
        <v>-1.4999999999999999E-2</v>
      </c>
    </row>
    <row r="49" spans="2:30">
      <c r="C49" s="1392">
        <f>+I49</f>
        <v>0.65500000000000114</v>
      </c>
      <c r="D49" s="53">
        <f>+K49</f>
        <v>298</v>
      </c>
      <c r="G49" s="1187">
        <v>2020</v>
      </c>
      <c r="H49" s="1188">
        <v>26.175999999999998</v>
      </c>
      <c r="I49" s="867">
        <f t="shared" si="17"/>
        <v>0.65500000000000114</v>
      </c>
      <c r="J49" s="869">
        <f t="shared" si="19"/>
        <v>2.4412060676083678E-2</v>
      </c>
      <c r="K49" s="324">
        <v>298</v>
      </c>
      <c r="L49" s="805">
        <f t="shared" si="18"/>
        <v>0.19519000000000034</v>
      </c>
      <c r="U49" s="801" t="s">
        <v>43</v>
      </c>
      <c r="V49" s="1525">
        <v>26.831</v>
      </c>
      <c r="W49" s="1525">
        <v>26.175999999999998</v>
      </c>
      <c r="X49" s="1525">
        <v>23.866</v>
      </c>
      <c r="Y49" s="1525">
        <v>23.324999999999999</v>
      </c>
      <c r="Z49" s="1525">
        <v>23.003</v>
      </c>
      <c r="AA49" s="1525">
        <f>21.99-0.292</f>
        <v>21.697999999999997</v>
      </c>
      <c r="AB49" s="1524">
        <f>+AA49-V49</f>
        <v>-5.1330000000000027</v>
      </c>
      <c r="AC49" s="809">
        <f>+AB49/V49</f>
        <v>-0.19130856099288146</v>
      </c>
      <c r="AD49" s="809">
        <v>-4.1000000000000002E-2</v>
      </c>
    </row>
    <row r="50" spans="2:30">
      <c r="C50" s="1392">
        <f>+I50</f>
        <v>2.3099999999999987</v>
      </c>
      <c r="D50" s="53">
        <f t="shared" ref="D50:D53" si="20">+K50</f>
        <v>490</v>
      </c>
      <c r="G50" s="1187">
        <v>2021</v>
      </c>
      <c r="H50" s="1188">
        <v>23.866</v>
      </c>
      <c r="I50" s="867">
        <f t="shared" si="17"/>
        <v>2.3099999999999987</v>
      </c>
      <c r="J50" s="869">
        <f t="shared" si="19"/>
        <v>8.824877750611243E-2</v>
      </c>
      <c r="K50" s="324">
        <v>490</v>
      </c>
      <c r="L50" s="805">
        <f t="shared" si="18"/>
        <v>1.1318999999999995</v>
      </c>
      <c r="N50" s="1392">
        <f>+I47+I48+I49+I50+I51</f>
        <v>4.4260000000000019</v>
      </c>
      <c r="O50" s="1392">
        <f t="shared" ref="O50:Q50" si="21">+J47+J48+J49+J50+J51</f>
        <v>0.16875711798717313</v>
      </c>
      <c r="P50" s="1393">
        <f>+Q50/N50</f>
        <v>0.4637300045187529</v>
      </c>
      <c r="Q50" s="1392">
        <f t="shared" si="21"/>
        <v>2.0524690000000012</v>
      </c>
    </row>
    <row r="51" spans="2:30">
      <c r="C51" s="1392">
        <f>+I51</f>
        <v>0.54100000000000037</v>
      </c>
      <c r="D51" s="53">
        <f t="shared" si="20"/>
        <v>509</v>
      </c>
      <c r="G51" s="1187">
        <v>2022</v>
      </c>
      <c r="H51" s="1188">
        <v>23.324999999999999</v>
      </c>
      <c r="I51" s="867">
        <f t="shared" si="17"/>
        <v>0.54100000000000037</v>
      </c>
      <c r="J51" s="869">
        <f t="shared" si="19"/>
        <v>2.2668230956171976E-2</v>
      </c>
      <c r="K51" s="324">
        <v>509</v>
      </c>
      <c r="L51" s="805">
        <f t="shared" si="18"/>
        <v>0.2753690000000002</v>
      </c>
      <c r="U51" t="s">
        <v>1841</v>
      </c>
    </row>
    <row r="52" spans="2:30">
      <c r="C52" s="1392">
        <f>+I52</f>
        <v>0.32199999999999918</v>
      </c>
      <c r="D52" s="53">
        <f t="shared" si="20"/>
        <v>764</v>
      </c>
      <c r="G52" s="1187">
        <v>2023</v>
      </c>
      <c r="H52" s="1188">
        <v>23.003</v>
      </c>
      <c r="I52" s="867">
        <f t="shared" si="17"/>
        <v>0.32199999999999918</v>
      </c>
      <c r="J52" s="869">
        <f t="shared" si="19"/>
        <v>1.3804930332261487E-2</v>
      </c>
      <c r="K52" s="324">
        <v>764</v>
      </c>
      <c r="L52" s="805">
        <f t="shared" si="18"/>
        <v>0.24600799999999937</v>
      </c>
    </row>
    <row r="53" spans="2:30">
      <c r="C53" s="1392">
        <f>+I53</f>
        <v>1.3050000000000033</v>
      </c>
      <c r="D53" s="53">
        <f t="shared" si="20"/>
        <v>1172.4137931034452</v>
      </c>
      <c r="G53" s="1430" t="s">
        <v>1060</v>
      </c>
      <c r="H53" s="1431">
        <f>21.99-0.292</f>
        <v>21.697999999999997</v>
      </c>
      <c r="I53" s="1432">
        <f t="shared" si="17"/>
        <v>1.3050000000000033</v>
      </c>
      <c r="J53" s="1250">
        <f t="shared" si="19"/>
        <v>5.6731730643829206E-2</v>
      </c>
      <c r="K53" s="1433">
        <f>+L53/I53*1000</f>
        <v>1172.4137931034452</v>
      </c>
      <c r="L53" s="1434">
        <v>1.53</v>
      </c>
    </row>
    <row r="54" spans="2:30">
      <c r="B54">
        <f>+D54/C54</f>
        <v>558.93046568496311</v>
      </c>
      <c r="C54" s="1392">
        <f>SUM(C48:C53)</f>
        <v>7.0930000000000026</v>
      </c>
      <c r="D54" s="53">
        <f>SUM(D48:D53)</f>
        <v>3964.4937931034451</v>
      </c>
      <c r="G54" s="1477" t="s">
        <v>19</v>
      </c>
      <c r="H54" s="1478"/>
      <c r="I54" s="1479">
        <f>SUM(I46:I53)</f>
        <v>6.0530000000000044</v>
      </c>
      <c r="J54" s="831">
        <f>+I54/H46</f>
        <v>0.21811826600843229</v>
      </c>
      <c r="K54" s="1244">
        <f>+L54/I54*1000</f>
        <v>632.4924830662477</v>
      </c>
      <c r="L54" s="1435">
        <f>SUM(L46:L53)</f>
        <v>3.8284770000000004</v>
      </c>
      <c r="N54">
        <v>3.57</v>
      </c>
      <c r="O54">
        <v>2200</v>
      </c>
      <c r="P54">
        <f>+O54/N54</f>
        <v>616.24649859943986</v>
      </c>
    </row>
    <row r="55" spans="2:30">
      <c r="G55" s="26" t="s">
        <v>1753</v>
      </c>
      <c r="H55" s="63"/>
      <c r="I55" s="28"/>
      <c r="J55" s="1476">
        <f>+J54/7</f>
        <v>3.1159752286918897E-2</v>
      </c>
    </row>
    <row r="56" spans="2:30">
      <c r="U56" s="1477"/>
    </row>
    <row r="57" spans="2:30">
      <c r="G57" s="810" t="s">
        <v>1118</v>
      </c>
      <c r="H57" s="133"/>
      <c r="I57" s="40" t="s">
        <v>959</v>
      </c>
      <c r="J57" s="40" t="s">
        <v>1108</v>
      </c>
      <c r="K57" s="40" t="s">
        <v>1112</v>
      </c>
      <c r="U57" s="26"/>
    </row>
    <row r="58" spans="2:30">
      <c r="G58" s="145" t="s">
        <v>1117</v>
      </c>
      <c r="H58" s="242"/>
      <c r="I58" s="1364" t="s">
        <v>1571</v>
      </c>
      <c r="J58" s="41" t="s">
        <v>1107</v>
      </c>
      <c r="K58" s="41" t="s">
        <v>1570</v>
      </c>
    </row>
    <row r="59" spans="2:30">
      <c r="G59" s="56" t="s">
        <v>1572</v>
      </c>
      <c r="H59" s="56"/>
      <c r="I59" s="811">
        <f>+I54</f>
        <v>6.0530000000000044</v>
      </c>
      <c r="J59" s="812">
        <f>+K54</f>
        <v>632.4924830662477</v>
      </c>
      <c r="K59" s="813">
        <f>+L54</f>
        <v>3.8284770000000004</v>
      </c>
    </row>
    <row r="60" spans="2:30">
      <c r="G60" s="46" t="s">
        <v>1115</v>
      </c>
      <c r="H60" s="46"/>
      <c r="I60" s="804">
        <f>1960000/1000000</f>
        <v>1.96</v>
      </c>
      <c r="J60" s="324">
        <v>373</v>
      </c>
      <c r="K60" s="805">
        <f>+I60*J60/1000</f>
        <v>0.73108000000000006</v>
      </c>
    </row>
    <row r="61" spans="2:30">
      <c r="G61" s="802" t="s">
        <v>1116</v>
      </c>
      <c r="H61" s="801"/>
      <c r="I61" s="808">
        <f>+I59+I60</f>
        <v>8.0130000000000052</v>
      </c>
      <c r="J61" s="770">
        <f>+K61/I61*1000</f>
        <v>569.0199675527266</v>
      </c>
      <c r="K61" s="807">
        <f>+K59+K60</f>
        <v>4.5595570000000007</v>
      </c>
    </row>
    <row r="62" spans="2:30">
      <c r="G62" s="24"/>
      <c r="H62" s="18"/>
      <c r="I62" s="809">
        <f>+I61/H46</f>
        <v>0.28874635148282962</v>
      </c>
      <c r="J62" s="30"/>
      <c r="K62" s="30"/>
    </row>
    <row r="64" spans="2:30">
      <c r="G64" s="11" t="s">
        <v>2390</v>
      </c>
      <c r="H64" s="619"/>
      <c r="I64" s="619"/>
      <c r="J64" s="619"/>
      <c r="K64" s="619"/>
      <c r="L64" s="619"/>
      <c r="M64" s="619"/>
      <c r="N64" s="619"/>
      <c r="P64" t="s">
        <v>988</v>
      </c>
    </row>
    <row r="65" spans="4:20">
      <c r="G65" s="1855" t="s">
        <v>773</v>
      </c>
      <c r="H65" s="709" t="s">
        <v>1459</v>
      </c>
      <c r="I65" s="2147" t="s">
        <v>1948</v>
      </c>
      <c r="J65" s="2151"/>
      <c r="K65" s="2147" t="s">
        <v>192</v>
      </c>
      <c r="L65" s="2148"/>
      <c r="M65" s="619"/>
      <c r="N65" s="619"/>
      <c r="P65" t="s">
        <v>918</v>
      </c>
      <c r="Q65" t="s">
        <v>14</v>
      </c>
      <c r="R65" t="s">
        <v>954</v>
      </c>
      <c r="T65" t="s">
        <v>968</v>
      </c>
    </row>
    <row r="66" spans="4:20">
      <c r="G66" s="707">
        <v>2017</v>
      </c>
      <c r="H66" s="1951">
        <v>27.751073000000002</v>
      </c>
      <c r="I66" s="1076" t="s">
        <v>40</v>
      </c>
      <c r="J66" s="1637" t="s">
        <v>40</v>
      </c>
      <c r="K66" s="1948" t="s">
        <v>1243</v>
      </c>
      <c r="L66" s="1638" t="s">
        <v>1107</v>
      </c>
      <c r="N66" s="619"/>
      <c r="Q66" t="s">
        <v>15</v>
      </c>
      <c r="R66" t="s">
        <v>919</v>
      </c>
      <c r="T66" t="s">
        <v>15</v>
      </c>
    </row>
    <row r="67" spans="4:20">
      <c r="G67" s="707">
        <v>2018</v>
      </c>
      <c r="H67" s="1951">
        <v>27.237946999999998</v>
      </c>
      <c r="I67" s="1954">
        <f t="shared" ref="I67:I71" si="22">+H67-H66</f>
        <v>-0.5131260000000033</v>
      </c>
      <c r="J67" s="1077">
        <f t="shared" ref="J67:J73" si="23">+I67/H66</f>
        <v>-1.8490312068293838E-2</v>
      </c>
      <c r="K67" s="1858">
        <f t="shared" ref="K67:K74" si="24">-+I67*L67</f>
        <v>261.18113400000169</v>
      </c>
      <c r="L67" s="1639">
        <v>509</v>
      </c>
      <c r="N67" s="619"/>
      <c r="P67">
        <v>2018</v>
      </c>
      <c r="Q67" s="779">
        <v>-513126</v>
      </c>
      <c r="R67" s="53">
        <v>509</v>
      </c>
      <c r="S67" s="53"/>
      <c r="T67" s="53">
        <v>-261.18113399999999</v>
      </c>
    </row>
    <row r="68" spans="4:20">
      <c r="G68" s="707">
        <v>2019</v>
      </c>
      <c r="H68" s="1951">
        <v>26.831068999999999</v>
      </c>
      <c r="I68" s="1954">
        <f t="shared" si="22"/>
        <v>-0.40687799999999896</v>
      </c>
      <c r="J68" s="1077">
        <f t="shared" si="23"/>
        <v>-1.493790996803096E-2</v>
      </c>
      <c r="K68" s="1858">
        <f t="shared" si="24"/>
        <v>188.79139199999952</v>
      </c>
      <c r="L68" s="1640">
        <v>464</v>
      </c>
      <c r="N68" s="619"/>
      <c r="P68">
        <v>2019</v>
      </c>
      <c r="Q68" s="779">
        <v>-406878</v>
      </c>
      <c r="R68" s="53">
        <v>464</v>
      </c>
      <c r="S68" s="53"/>
      <c r="T68" s="53">
        <v>-188.791392</v>
      </c>
    </row>
    <row r="69" spans="4:20">
      <c r="G69" s="707">
        <v>2020</v>
      </c>
      <c r="H69" s="1951">
        <v>26.176506</v>
      </c>
      <c r="I69" s="1954">
        <f t="shared" si="22"/>
        <v>-0.65456299999999956</v>
      </c>
      <c r="J69" s="1077">
        <f t="shared" si="23"/>
        <v>-2.4395710808242474E-2</v>
      </c>
      <c r="K69" s="1858">
        <f t="shared" si="24"/>
        <v>195.05977399999986</v>
      </c>
      <c r="L69" s="1640">
        <v>298</v>
      </c>
      <c r="N69" s="619"/>
      <c r="P69">
        <v>2020</v>
      </c>
      <c r="Q69" s="779">
        <v>-654563</v>
      </c>
      <c r="R69" s="53">
        <v>298</v>
      </c>
      <c r="S69" s="53"/>
      <c r="T69" s="53">
        <v>-195.059774</v>
      </c>
    </row>
    <row r="70" spans="4:20">
      <c r="G70" s="707">
        <v>2021</v>
      </c>
      <c r="H70" s="1951">
        <v>23.865600000000001</v>
      </c>
      <c r="I70" s="1954">
        <f t="shared" si="22"/>
        <v>-2.3109059999999992</v>
      </c>
      <c r="J70" s="1077">
        <f t="shared" si="23"/>
        <v>-8.8281682818936918E-2</v>
      </c>
      <c r="K70" s="1858">
        <f t="shared" si="24"/>
        <v>1132.3439399999995</v>
      </c>
      <c r="L70" s="1640">
        <v>490</v>
      </c>
      <c r="N70" s="11"/>
      <c r="P70">
        <v>2021</v>
      </c>
      <c r="Q70" s="779">
        <v>-2310906</v>
      </c>
      <c r="R70" s="53">
        <v>490</v>
      </c>
      <c r="S70" s="53"/>
      <c r="T70" s="53">
        <v>-1132.34394</v>
      </c>
    </row>
    <row r="71" spans="4:20">
      <c r="G71" s="635">
        <v>2022</v>
      </c>
      <c r="H71" s="1952">
        <v>23.325305</v>
      </c>
      <c r="I71" s="1955">
        <f t="shared" si="22"/>
        <v>-0.54029500000000041</v>
      </c>
      <c r="J71" s="1856">
        <f t="shared" si="23"/>
        <v>-2.2639070461249682E-2</v>
      </c>
      <c r="K71" s="1858">
        <f t="shared" si="24"/>
        <v>275.01015500000022</v>
      </c>
      <c r="L71" s="1640">
        <v>509</v>
      </c>
      <c r="N71" s="11"/>
      <c r="P71">
        <v>2022</v>
      </c>
      <c r="Q71" s="779">
        <v>-540295</v>
      </c>
      <c r="R71" s="53">
        <v>509</v>
      </c>
      <c r="S71" s="53"/>
      <c r="T71" s="53">
        <v>-275.010155</v>
      </c>
    </row>
    <row r="72" spans="4:20">
      <c r="G72" s="707">
        <v>2023</v>
      </c>
      <c r="H72" s="1951">
        <v>23.003247999999999</v>
      </c>
      <c r="I72" s="1951">
        <f>+H72-H71</f>
        <v>-0.32205700000000093</v>
      </c>
      <c r="J72" s="1857">
        <f t="shared" si="23"/>
        <v>-1.3807193517941177E-2</v>
      </c>
      <c r="K72" s="1858">
        <f t="shared" si="24"/>
        <v>246.05154800000071</v>
      </c>
      <c r="L72" s="1640">
        <v>764</v>
      </c>
      <c r="N72" s="11"/>
      <c r="P72">
        <v>2023</v>
      </c>
      <c r="Q72" s="779">
        <v>-322057</v>
      </c>
      <c r="R72" s="53">
        <v>764</v>
      </c>
      <c r="S72" s="53"/>
      <c r="T72" s="53">
        <f>(+Q72*R72)/1000000</f>
        <v>-246.051548</v>
      </c>
    </row>
    <row r="73" spans="4:20">
      <c r="D73" s="1393">
        <f>+H66-H74</f>
        <v>6.895073</v>
      </c>
      <c r="G73" s="80">
        <v>2024</v>
      </c>
      <c r="H73" s="1953">
        <v>21.668465999999999</v>
      </c>
      <c r="I73" s="1951">
        <f>+H73-H72</f>
        <v>-1.3347820000000006</v>
      </c>
      <c r="J73" s="1857">
        <f t="shared" si="23"/>
        <v>-5.8025805747084089E-2</v>
      </c>
      <c r="K73" s="1858">
        <f t="shared" si="24"/>
        <v>1573.7079780000006</v>
      </c>
      <c r="L73" s="1640">
        <v>1179</v>
      </c>
      <c r="N73" s="11"/>
      <c r="P73">
        <v>2024</v>
      </c>
      <c r="Q73" s="779">
        <f>+I73</f>
        <v>-1.3347820000000006</v>
      </c>
      <c r="R73" s="53">
        <v>1179</v>
      </c>
      <c r="S73" s="53"/>
      <c r="T73" s="53">
        <f>(+Q73*R73)/1000000</f>
        <v>-1.5737079780000006E-3</v>
      </c>
    </row>
    <row r="74" spans="4:20">
      <c r="G74" s="45">
        <v>2025</v>
      </c>
      <c r="H74" s="867">
        <v>20.856000000000002</v>
      </c>
      <c r="I74" s="1951">
        <f>+H74-H73</f>
        <v>-0.81246599999999702</v>
      </c>
      <c r="J74" s="1857">
        <f t="shared" ref="J74" si="25">+I74/H73</f>
        <v>-3.7495316927372575E-2</v>
      </c>
      <c r="K74" s="1858">
        <f t="shared" si="24"/>
        <v>1333.2567059999951</v>
      </c>
      <c r="L74" s="1640">
        <v>1641</v>
      </c>
      <c r="N74" s="11"/>
      <c r="Q74" s="779"/>
      <c r="R74" s="53"/>
      <c r="S74" s="53"/>
      <c r="T74" s="53"/>
    </row>
    <row r="75" spans="4:20">
      <c r="G75" s="45" t="s">
        <v>2388</v>
      </c>
      <c r="H75" s="867">
        <v>20.623999999999999</v>
      </c>
      <c r="I75" s="1951">
        <f>+H75-H74</f>
        <v>-0.23200000000000287</v>
      </c>
      <c r="J75" s="1857">
        <f t="shared" ref="J75" si="26">+I75/H74</f>
        <v>-1.1123897199846704E-2</v>
      </c>
      <c r="K75" s="1858">
        <f t="shared" ref="K75" si="27">-+I75*L75</f>
        <v>390.68800000000482</v>
      </c>
      <c r="L75" s="1640">
        <v>1684</v>
      </c>
      <c r="N75" s="11"/>
      <c r="Q75" s="779"/>
      <c r="R75" s="53"/>
      <c r="S75" s="53"/>
      <c r="T75" s="53"/>
    </row>
    <row r="76" spans="4:20">
      <c r="G76" s="2091" t="s">
        <v>2389</v>
      </c>
      <c r="H76" s="2092"/>
      <c r="I76" s="1189">
        <f>SUM(I67:I75)</f>
        <v>-7.1270730000000029</v>
      </c>
      <c r="J76" s="830">
        <f>+I76/H66</f>
        <v>-0.25682152902700384</v>
      </c>
      <c r="K76" s="1950">
        <f>SUM(K67:K75)</f>
        <v>5596.0906270000023</v>
      </c>
      <c r="L76" s="1642">
        <f>+K76/-I76</f>
        <v>785.18778003256034</v>
      </c>
      <c r="N76" s="619">
        <f>+K76/I76</f>
        <v>-785.18778003256034</v>
      </c>
      <c r="Q76" s="1281">
        <f>SUM(Q67:Q73)</f>
        <v>-4747826.3347819997</v>
      </c>
      <c r="R76" s="469">
        <f>(+T76/Q76)*1000000</f>
        <v>484.10353594230878</v>
      </c>
      <c r="S76" s="469"/>
      <c r="T76" s="469">
        <f>SUM(T67:T73)</f>
        <v>-2298.4395167079779</v>
      </c>
    </row>
    <row r="77" spans="4:20">
      <c r="G77" s="7"/>
      <c r="I77" s="779"/>
      <c r="J77" s="1286"/>
    </row>
    <row r="78" spans="4:20">
      <c r="F78" s="810" t="s">
        <v>1118</v>
      </c>
      <c r="G78" s="24"/>
      <c r="H78" s="1537"/>
      <c r="I78" s="40" t="s">
        <v>959</v>
      </c>
      <c r="K78" s="40" t="s">
        <v>1112</v>
      </c>
      <c r="L78" s="40" t="s">
        <v>1108</v>
      </c>
    </row>
    <row r="79" spans="4:20">
      <c r="F79" s="145" t="s">
        <v>1117</v>
      </c>
      <c r="G79" s="25"/>
      <c r="H79" s="103"/>
      <c r="I79" s="1364" t="s">
        <v>1571</v>
      </c>
      <c r="K79" s="41" t="s">
        <v>1507</v>
      </c>
      <c r="L79" s="41" t="s">
        <v>1107</v>
      </c>
    </row>
    <row r="80" spans="4:20">
      <c r="F80" s="46" t="s">
        <v>2265</v>
      </c>
      <c r="G80" s="63"/>
      <c r="H80" s="46"/>
      <c r="I80" s="1394">
        <f>-+I76</f>
        <v>7.1270730000000029</v>
      </c>
      <c r="K80" s="1949">
        <f>+K76</f>
        <v>5596.0906270000023</v>
      </c>
      <c r="L80" s="1949">
        <f>+L76</f>
        <v>785.18778003256034</v>
      </c>
    </row>
    <row r="81" spans="6:12">
      <c r="F81" s="46" t="s">
        <v>2180</v>
      </c>
      <c r="G81" s="63"/>
      <c r="H81" s="46"/>
      <c r="I81" s="867">
        <v>1.76</v>
      </c>
      <c r="K81" s="1949">
        <f>+I81*L81</f>
        <v>656.48</v>
      </c>
      <c r="L81" s="513">
        <v>373</v>
      </c>
    </row>
    <row r="82" spans="6:12">
      <c r="F82" s="1366" t="s">
        <v>1116</v>
      </c>
      <c r="G82" s="873"/>
      <c r="H82" s="1399"/>
      <c r="I82" s="1189">
        <f>+I80+I81</f>
        <v>8.8870730000000027</v>
      </c>
      <c r="J82" s="830">
        <f>+I82/H66</f>
        <v>0.32024250017287625</v>
      </c>
      <c r="K82" s="905">
        <f>+K80+K81</f>
        <v>6252.5706270000028</v>
      </c>
      <c r="L82" s="905">
        <f>+K82/I82</f>
        <v>703.55792362682303</v>
      </c>
    </row>
    <row r="83" spans="6:12">
      <c r="G83" s="24"/>
      <c r="H83" s="18"/>
      <c r="J83" s="30"/>
      <c r="K83" s="30"/>
    </row>
    <row r="86" spans="6:12">
      <c r="G86" s="11" t="s">
        <v>2299</v>
      </c>
    </row>
    <row r="87" spans="6:12">
      <c r="G87" s="814"/>
      <c r="H87" s="40" t="s">
        <v>1109</v>
      </c>
      <c r="I87" s="42"/>
      <c r="J87" s="42"/>
      <c r="K87" s="42"/>
    </row>
    <row r="88" spans="6:12">
      <c r="G88" s="42"/>
      <c r="H88" s="51" t="s">
        <v>959</v>
      </c>
      <c r="I88" s="40" t="s">
        <v>170</v>
      </c>
      <c r="K88" s="42"/>
    </row>
    <row r="89" spans="6:12">
      <c r="H89" s="1679" t="s">
        <v>1110</v>
      </c>
      <c r="I89" s="51" t="s">
        <v>1111</v>
      </c>
      <c r="J89" s="2071" t="s">
        <v>192</v>
      </c>
      <c r="K89" s="2072"/>
    </row>
    <row r="90" spans="6:12">
      <c r="G90" s="40" t="s">
        <v>918</v>
      </c>
      <c r="H90" s="41" t="s">
        <v>2007</v>
      </c>
      <c r="I90" s="41" t="s">
        <v>1459</v>
      </c>
      <c r="J90" s="41" t="s">
        <v>2166</v>
      </c>
      <c r="K90" s="51" t="s">
        <v>1107</v>
      </c>
    </row>
    <row r="91" spans="6:12">
      <c r="G91" s="1187" t="s">
        <v>2008</v>
      </c>
      <c r="H91" s="31">
        <v>26.831</v>
      </c>
      <c r="I91" s="804" t="s">
        <v>40</v>
      </c>
      <c r="J91" s="805" t="s">
        <v>40</v>
      </c>
      <c r="K91" s="324" t="s">
        <v>40</v>
      </c>
    </row>
    <row r="92" spans="6:12">
      <c r="G92" s="1970" t="s">
        <v>1798</v>
      </c>
      <c r="H92" s="1678">
        <v>21</v>
      </c>
      <c r="I92" s="1972">
        <f>-(+H92-H91)</f>
        <v>5.8309999999999995</v>
      </c>
      <c r="J92" s="903">
        <v>1086</v>
      </c>
      <c r="K92" s="1677">
        <v>1625</v>
      </c>
    </row>
    <row r="93" spans="6:12">
      <c r="G93" s="1971" t="s">
        <v>2300</v>
      </c>
      <c r="H93" s="1964"/>
      <c r="I93" s="1683">
        <v>5.8309999999999995</v>
      </c>
      <c r="J93" s="871">
        <v>4.5079319999999994</v>
      </c>
      <c r="K93" s="884">
        <v>773.09758188989872</v>
      </c>
    </row>
    <row r="94" spans="6:12">
      <c r="I94" s="864">
        <v>0.21732324549960866</v>
      </c>
    </row>
    <row r="97" spans="6:20">
      <c r="P97" s="11" t="s">
        <v>2237</v>
      </c>
      <c r="R97" s="42"/>
      <c r="S97" s="42"/>
      <c r="T97" s="42"/>
    </row>
    <row r="98" spans="6:20">
      <c r="G98" s="11" t="s">
        <v>2301</v>
      </c>
      <c r="H98" s="42"/>
      <c r="I98" s="42"/>
      <c r="J98" s="42"/>
      <c r="K98" s="42"/>
      <c r="P98" s="42"/>
      <c r="Q98" s="40" t="s">
        <v>1109</v>
      </c>
      <c r="R98" s="40" t="s">
        <v>170</v>
      </c>
      <c r="T98" s="42"/>
    </row>
    <row r="99" spans="6:20">
      <c r="G99" s="42"/>
      <c r="H99" s="40" t="s">
        <v>1109</v>
      </c>
      <c r="I99" s="40" t="s">
        <v>170</v>
      </c>
      <c r="K99" s="42"/>
      <c r="Q99" s="51" t="s">
        <v>959</v>
      </c>
      <c r="R99" s="51" t="s">
        <v>1111</v>
      </c>
      <c r="S99" s="40" t="s">
        <v>1112</v>
      </c>
      <c r="T99" s="40" t="s">
        <v>1108</v>
      </c>
    </row>
    <row r="100" spans="6:20">
      <c r="H100" s="1679" t="s">
        <v>959</v>
      </c>
      <c r="I100" s="51" t="s">
        <v>1111</v>
      </c>
      <c r="J100" s="2077" t="s">
        <v>192</v>
      </c>
      <c r="K100" s="2072"/>
      <c r="P100" s="40" t="s">
        <v>918</v>
      </c>
      <c r="Q100" s="41" t="s">
        <v>2238</v>
      </c>
      <c r="R100" s="41" t="s">
        <v>2123</v>
      </c>
      <c r="S100" s="41" t="s">
        <v>2239</v>
      </c>
      <c r="T100" s="51" t="s">
        <v>1107</v>
      </c>
    </row>
    <row r="101" spans="6:20">
      <c r="G101" s="151" t="s">
        <v>918</v>
      </c>
      <c r="H101" s="41" t="s">
        <v>2007</v>
      </c>
      <c r="I101" s="41" t="s">
        <v>1459</v>
      </c>
      <c r="J101" s="114" t="s">
        <v>2034</v>
      </c>
      <c r="K101" s="51" t="s">
        <v>1107</v>
      </c>
      <c r="P101" s="1129">
        <v>2020</v>
      </c>
      <c r="Q101" s="1188">
        <v>26.175999999999998</v>
      </c>
      <c r="R101" s="804" t="s">
        <v>40</v>
      </c>
      <c r="S101" s="805" t="s">
        <v>40</v>
      </c>
      <c r="T101" s="324" t="s">
        <v>40</v>
      </c>
    </row>
    <row r="102" spans="6:20">
      <c r="G102" s="1187" t="s">
        <v>2008</v>
      </c>
      <c r="H102" s="31">
        <v>26.831</v>
      </c>
      <c r="I102" s="811" t="s">
        <v>40</v>
      </c>
      <c r="J102" s="805" t="s">
        <v>40</v>
      </c>
      <c r="K102" s="324" t="s">
        <v>40</v>
      </c>
      <c r="P102" s="1129">
        <v>2021</v>
      </c>
      <c r="Q102" s="1188">
        <v>23.866</v>
      </c>
      <c r="R102" s="867">
        <f>-(+Q102-Q101)</f>
        <v>2.3099999999999987</v>
      </c>
      <c r="S102" s="805">
        <f>+R102*T102/1000</f>
        <v>1.1318999999999995</v>
      </c>
      <c r="T102" s="324">
        <v>490</v>
      </c>
    </row>
    <row r="103" spans="6:20">
      <c r="G103" s="1187" t="s">
        <v>1349</v>
      </c>
      <c r="H103" s="1188">
        <v>26.175999999999998</v>
      </c>
      <c r="I103" s="867">
        <f t="shared" ref="I103:I108" si="28">-(+H103-H102)</f>
        <v>0.65500000000000114</v>
      </c>
      <c r="J103" s="1974">
        <f t="shared" ref="J103:J108" si="29">+I103*K103/1000</f>
        <v>0.19519000000000034</v>
      </c>
      <c r="K103" s="324">
        <v>298</v>
      </c>
      <c r="P103" s="1129">
        <v>2022</v>
      </c>
      <c r="Q103" s="1188">
        <v>23.324999999999999</v>
      </c>
      <c r="R103" s="867">
        <f>-(+Q103-Q102)</f>
        <v>0.54100000000000037</v>
      </c>
      <c r="S103" s="805">
        <f>+R103*T103/1000</f>
        <v>0.2753690000000002</v>
      </c>
      <c r="T103" s="324">
        <v>509</v>
      </c>
    </row>
    <row r="104" spans="6:20">
      <c r="G104" s="1187" t="s">
        <v>2004</v>
      </c>
      <c r="H104" s="1188">
        <v>23.866</v>
      </c>
      <c r="I104" s="867">
        <f t="shared" si="28"/>
        <v>2.3099999999999987</v>
      </c>
      <c r="J104" s="1974">
        <f t="shared" si="29"/>
        <v>1.1318999999999995</v>
      </c>
      <c r="K104" s="324">
        <v>490</v>
      </c>
      <c r="P104" s="1129">
        <v>2023</v>
      </c>
      <c r="Q104" s="1188">
        <v>23.003</v>
      </c>
      <c r="R104" s="867">
        <f>-(+Q104-Q103)</f>
        <v>0.32199999999999918</v>
      </c>
      <c r="S104" s="805">
        <f>+R104*T104/1000</f>
        <v>0.24600799999999937</v>
      </c>
      <c r="T104" s="324">
        <v>764</v>
      </c>
    </row>
    <row r="105" spans="6:20">
      <c r="G105" s="1187" t="s">
        <v>2005</v>
      </c>
      <c r="H105" s="1188">
        <v>23.324999999999999</v>
      </c>
      <c r="I105" s="867">
        <f t="shared" si="28"/>
        <v>0.54100000000000037</v>
      </c>
      <c r="J105" s="1974">
        <f t="shared" si="29"/>
        <v>0.2753690000000002</v>
      </c>
      <c r="K105" s="324">
        <v>509</v>
      </c>
      <c r="P105" s="1129">
        <v>2024</v>
      </c>
      <c r="Q105" s="1678">
        <v>21.667999999999999</v>
      </c>
      <c r="R105" s="867">
        <f>-(+Q105-Q104)</f>
        <v>1.3350000000000009</v>
      </c>
      <c r="S105" s="805">
        <f>+R105*T105/1000</f>
        <v>1.5739650000000009</v>
      </c>
      <c r="T105" s="1677">
        <v>1179</v>
      </c>
    </row>
    <row r="106" spans="6:20">
      <c r="G106" s="1187" t="s">
        <v>2006</v>
      </c>
      <c r="H106" s="1188">
        <v>23.003</v>
      </c>
      <c r="I106" s="867">
        <f t="shared" si="28"/>
        <v>0.32199999999999918</v>
      </c>
      <c r="J106" s="1974">
        <f t="shared" si="29"/>
        <v>0.24600799999999937</v>
      </c>
      <c r="K106" s="324">
        <v>764</v>
      </c>
      <c r="P106" s="1920" t="s">
        <v>1061</v>
      </c>
      <c r="Q106" s="1525">
        <v>21</v>
      </c>
      <c r="R106" s="1395">
        <f>-(+Q106-Q105)</f>
        <v>0.66799999999999926</v>
      </c>
      <c r="S106" s="807">
        <f>+R106*T106/1000</f>
        <v>1.0854999999999988</v>
      </c>
      <c r="T106" s="770">
        <v>1625</v>
      </c>
    </row>
    <row r="107" spans="6:20">
      <c r="G107" s="1187" t="s">
        <v>1838</v>
      </c>
      <c r="H107" s="1188">
        <v>21.667999999999999</v>
      </c>
      <c r="I107" s="867">
        <f t="shared" si="28"/>
        <v>1.3350000000000009</v>
      </c>
      <c r="J107" s="1974">
        <f t="shared" si="29"/>
        <v>1.5739650000000009</v>
      </c>
      <c r="K107" s="324">
        <v>1179</v>
      </c>
      <c r="P107" s="800" t="s">
        <v>1113</v>
      </c>
      <c r="Q107" s="830"/>
      <c r="R107" s="1189">
        <f>+Q101-Q106</f>
        <v>5.1759999999999984</v>
      </c>
      <c r="S107" s="806">
        <f>SUM(S101:S106)</f>
        <v>4.3127419999999983</v>
      </c>
      <c r="T107" s="803">
        <f>+S107/R107*1000</f>
        <v>833.21908809891795</v>
      </c>
    </row>
    <row r="108" spans="6:20">
      <c r="G108" s="1973" t="s">
        <v>1061</v>
      </c>
      <c r="H108" s="1525">
        <v>21</v>
      </c>
      <c r="I108" s="1395">
        <f t="shared" si="28"/>
        <v>0.66799999999999926</v>
      </c>
      <c r="J108" s="1975">
        <f t="shared" si="29"/>
        <v>1.0854999999999988</v>
      </c>
      <c r="K108" s="770">
        <v>1625</v>
      </c>
      <c r="P108" s="1966"/>
      <c r="Q108" s="1967"/>
      <c r="R108" s="1596">
        <f>+R107/Q101</f>
        <v>0.19773838630806842</v>
      </c>
      <c r="S108" s="1968"/>
      <c r="T108" s="1969"/>
    </row>
    <row r="109" spans="6:20">
      <c r="G109" s="1841" t="s">
        <v>2302</v>
      </c>
      <c r="H109" s="830"/>
      <c r="I109" s="1189">
        <f>SUM(I103:I108)</f>
        <v>5.8309999999999995</v>
      </c>
      <c r="J109" s="1976">
        <f>SUM(J103:J108)</f>
        <v>4.5079319999999994</v>
      </c>
      <c r="K109" s="803">
        <f>+J109/I109*1000</f>
        <v>773.09758188989872</v>
      </c>
      <c r="P109" s="42"/>
      <c r="Q109" s="1690"/>
    </row>
    <row r="110" spans="6:20">
      <c r="I110" s="830">
        <f>+I109/H102</f>
        <v>0.21732324549960866</v>
      </c>
    </row>
    <row r="111" spans="6:20">
      <c r="P111" s="11" t="s">
        <v>2164</v>
      </c>
    </row>
    <row r="112" spans="6:20">
      <c r="F112" s="1687" t="s">
        <v>2013</v>
      </c>
      <c r="M112" s="2152" t="s">
        <v>2020</v>
      </c>
      <c r="N112" s="2153"/>
      <c r="R112" s="40" t="s">
        <v>170</v>
      </c>
      <c r="T112" s="42"/>
    </row>
    <row r="113" spans="6:20">
      <c r="F113" t="s">
        <v>2014</v>
      </c>
      <c r="H113" s="11"/>
      <c r="I113" s="40" t="s">
        <v>959</v>
      </c>
      <c r="J113" s="40" t="s">
        <v>1108</v>
      </c>
      <c r="K113" s="40" t="s">
        <v>1112</v>
      </c>
      <c r="M113" s="2154" t="s">
        <v>2019</v>
      </c>
      <c r="N113" s="2155"/>
      <c r="R113" s="51" t="s">
        <v>1111</v>
      </c>
      <c r="S113" s="40" t="s">
        <v>1112</v>
      </c>
      <c r="T113" s="40" t="s">
        <v>1108</v>
      </c>
    </row>
    <row r="114" spans="6:20">
      <c r="F114" s="48" t="s">
        <v>2021</v>
      </c>
      <c r="G114" s="63"/>
      <c r="H114" s="123"/>
      <c r="I114" s="1364" t="s">
        <v>1571</v>
      </c>
      <c r="J114" s="41" t="s">
        <v>1107</v>
      </c>
      <c r="K114" s="41" t="s">
        <v>2002</v>
      </c>
      <c r="M114" s="981" t="s">
        <v>1107</v>
      </c>
      <c r="N114" s="981" t="s">
        <v>2017</v>
      </c>
      <c r="R114" s="41" t="s">
        <v>1459</v>
      </c>
      <c r="S114" s="41" t="s">
        <v>2003</v>
      </c>
      <c r="T114" s="51" t="s">
        <v>1107</v>
      </c>
    </row>
    <row r="115" spans="6:20">
      <c r="F115" s="46" t="s">
        <v>2012</v>
      </c>
      <c r="G115" s="63"/>
      <c r="H115" s="46"/>
      <c r="I115" s="1394">
        <f>+I109</f>
        <v>5.8309999999999995</v>
      </c>
      <c r="J115" s="812">
        <f>+K109</f>
        <v>773.09758188989872</v>
      </c>
      <c r="K115" s="813">
        <f>+I115*J115/1000</f>
        <v>4.5079319999999985</v>
      </c>
      <c r="M115" s="770">
        <f>+J120-J115</f>
        <v>991.90241811010128</v>
      </c>
      <c r="N115" s="807">
        <f>+I115*M115/1000</f>
        <v>5.7837830000000006</v>
      </c>
      <c r="P115" s="48" t="s">
        <v>2162</v>
      </c>
      <c r="Q115" s="123"/>
      <c r="R115" s="867">
        <f>+R107</f>
        <v>5.1759999999999984</v>
      </c>
      <c r="S115" s="805">
        <f>+S107</f>
        <v>4.3127419999999983</v>
      </c>
      <c r="T115" s="324">
        <f>+T107</f>
        <v>833.21908809891795</v>
      </c>
    </row>
    <row r="116" spans="6:20">
      <c r="F116" s="46" t="s">
        <v>2022</v>
      </c>
      <c r="G116" s="63"/>
      <c r="H116" s="46"/>
      <c r="I116" s="867">
        <v>1.76</v>
      </c>
      <c r="J116" s="324">
        <v>373</v>
      </c>
      <c r="K116" s="813">
        <f>+I116*J116/1000</f>
        <v>0.65648000000000006</v>
      </c>
      <c r="M116" s="770">
        <f>+J120-J116</f>
        <v>1392</v>
      </c>
      <c r="N116" s="807">
        <f>+I116*M116/1000</f>
        <v>2.4499200000000001</v>
      </c>
      <c r="P116" s="48" t="s">
        <v>2161</v>
      </c>
      <c r="Q116" s="123"/>
      <c r="R116" s="867">
        <v>1.76</v>
      </c>
      <c r="S116" s="805">
        <f>+T116*R116/1000</f>
        <v>0.65648000000000006</v>
      </c>
      <c r="T116" s="324">
        <v>373</v>
      </c>
    </row>
    <row r="117" spans="6:20">
      <c r="F117" s="1366" t="s">
        <v>1116</v>
      </c>
      <c r="G117" s="873"/>
      <c r="H117" s="1399"/>
      <c r="I117" s="1189">
        <f>SUM(I115:I116)</f>
        <v>7.5909999999999993</v>
      </c>
      <c r="J117" s="803">
        <f>+K117/I117*1000</f>
        <v>680.33355289158203</v>
      </c>
      <c r="K117" s="806">
        <f>SUM(K115:K116)</f>
        <v>5.1644119999999987</v>
      </c>
      <c r="M117" s="1244">
        <f>+N117/I117*1000</f>
        <v>1084.666447108418</v>
      </c>
      <c r="N117" s="1689">
        <f>SUM(N115:N116)</f>
        <v>8.2337030000000002</v>
      </c>
      <c r="P117" s="1348" t="s">
        <v>1116</v>
      </c>
      <c r="Q117" s="1214"/>
      <c r="R117" s="1838">
        <f>+R115+R116</f>
        <v>6.9359999999999982</v>
      </c>
      <c r="S117" s="1689">
        <f>+S115+S116</f>
        <v>4.9692219999999985</v>
      </c>
      <c r="T117" s="1244">
        <f>+S117/R117*1000</f>
        <v>716.43915801614764</v>
      </c>
    </row>
    <row r="118" spans="6:20">
      <c r="G118" s="24"/>
      <c r="H118" s="18"/>
      <c r="I118" s="830">
        <f>+I117/H102</f>
        <v>0.28291901159107002</v>
      </c>
      <c r="J118" s="30"/>
      <c r="K118" s="30"/>
      <c r="P118" s="1348" t="s">
        <v>2163</v>
      </c>
      <c r="Q118" s="1349"/>
      <c r="R118" s="831">
        <f>+R117/Q101</f>
        <v>0.26497555012224933</v>
      </c>
      <c r="S118" s="30"/>
      <c r="T118" s="30"/>
    </row>
    <row r="119" spans="6:20">
      <c r="I119" s="1686"/>
      <c r="P119" s="1348" t="s">
        <v>1881</v>
      </c>
      <c r="Q119" s="1349"/>
      <c r="R119" s="831">
        <f>+R118/4</f>
        <v>6.6243887530562331E-2</v>
      </c>
    </row>
    <row r="120" spans="6:20">
      <c r="F120" s="1636" t="s">
        <v>2015</v>
      </c>
      <c r="G120" s="451"/>
      <c r="H120" s="451"/>
      <c r="I120" s="1688"/>
      <c r="J120" s="768">
        <v>1765</v>
      </c>
    </row>
    <row r="121" spans="6:20">
      <c r="F121" t="s">
        <v>2023</v>
      </c>
      <c r="I121" s="1690"/>
      <c r="J121" s="425"/>
      <c r="P121" s="1680" t="s">
        <v>1115</v>
      </c>
      <c r="Q121" s="1681"/>
      <c r="R121" s="45">
        <v>1.96</v>
      </c>
      <c r="S121" s="805">
        <f>+T121*R121/1000</f>
        <v>0.73108000000000006</v>
      </c>
      <c r="T121" s="324">
        <v>373</v>
      </c>
    </row>
    <row r="122" spans="6:20">
      <c r="I122" s="1686"/>
      <c r="J122" s="30"/>
      <c r="P122" s="48" t="s">
        <v>2009</v>
      </c>
      <c r="Q122" s="1682"/>
      <c r="R122" s="1683">
        <f>+I109+R121</f>
        <v>7.7909999999999995</v>
      </c>
      <c r="S122" s="1684">
        <f>+J109+S121</f>
        <v>5.2390119999999998</v>
      </c>
      <c r="T122" s="884">
        <f>+S122/R122*1000</f>
        <v>672.44410216916958</v>
      </c>
    </row>
    <row r="123" spans="6:20">
      <c r="R123" s="1461">
        <f>+R122/H102</f>
        <v>0.29037307591964517</v>
      </c>
    </row>
    <row r="124" spans="6:20">
      <c r="F124" s="11" t="s">
        <v>2018</v>
      </c>
      <c r="J124" s="981" t="s">
        <v>1107</v>
      </c>
      <c r="K124" s="981" t="s">
        <v>2017</v>
      </c>
    </row>
    <row r="125" spans="6:20">
      <c r="F125" s="1348" t="s">
        <v>2016</v>
      </c>
      <c r="G125" s="1413"/>
      <c r="H125" s="1413"/>
      <c r="I125" s="1685"/>
      <c r="J125" s="1244">
        <f>+J120-J117</f>
        <v>1084.666447108418</v>
      </c>
      <c r="K125" s="1244">
        <f>+I117*J125</f>
        <v>8233.7029999999995</v>
      </c>
    </row>
    <row r="126" spans="6:20">
      <c r="I126" s="1686"/>
    </row>
    <row r="127" spans="6:20">
      <c r="P127" t="s">
        <v>988</v>
      </c>
    </row>
    <row r="128" spans="6:20">
      <c r="G128" s="11" t="s">
        <v>1461</v>
      </c>
      <c r="H128" s="619"/>
      <c r="I128" s="619"/>
      <c r="J128" s="619"/>
      <c r="K128" s="619"/>
      <c r="L128" s="619"/>
      <c r="M128" s="619"/>
      <c r="N128" s="619"/>
    </row>
    <row r="129" spans="6:28">
      <c r="H129" s="40" t="s">
        <v>959</v>
      </c>
      <c r="I129" s="2151" t="s">
        <v>16</v>
      </c>
      <c r="J129" s="2148"/>
      <c r="K129" s="619"/>
      <c r="L129" s="619"/>
      <c r="M129" s="619"/>
      <c r="N129" s="619"/>
      <c r="P129" t="s">
        <v>918</v>
      </c>
      <c r="Q129" t="s">
        <v>14</v>
      </c>
      <c r="R129" t="s">
        <v>954</v>
      </c>
      <c r="T129" t="s">
        <v>968</v>
      </c>
    </row>
    <row r="130" spans="6:28">
      <c r="G130" s="1173" t="s">
        <v>1372</v>
      </c>
      <c r="H130" s="1170" t="s">
        <v>773</v>
      </c>
      <c r="I130" s="39" t="s">
        <v>959</v>
      </c>
      <c r="J130" s="39" t="s">
        <v>39</v>
      </c>
      <c r="K130" s="1171" t="s">
        <v>993</v>
      </c>
      <c r="L130" s="1172"/>
      <c r="M130" s="1006"/>
      <c r="N130" s="1007"/>
      <c r="Q130" t="s">
        <v>15</v>
      </c>
      <c r="R130" t="s">
        <v>919</v>
      </c>
      <c r="T130" t="s">
        <v>15</v>
      </c>
    </row>
    <row r="131" spans="6:28">
      <c r="G131" s="707">
        <v>2018</v>
      </c>
      <c r="H131" s="1169">
        <v>27237947</v>
      </c>
      <c r="I131" s="1076" t="s">
        <v>40</v>
      </c>
      <c r="J131" s="1077" t="s">
        <v>40</v>
      </c>
      <c r="K131" s="620"/>
      <c r="L131" s="620"/>
      <c r="M131" s="619"/>
      <c r="N131" s="713"/>
      <c r="P131">
        <v>2018</v>
      </c>
    </row>
    <row r="132" spans="6:28">
      <c r="G132" s="707">
        <v>2019</v>
      </c>
      <c r="H132" s="625">
        <v>26831069</v>
      </c>
      <c r="I132" s="1003">
        <f t="shared" ref="I132:I135" si="30">+H132-H131</f>
        <v>-406878</v>
      </c>
      <c r="J132" s="968">
        <f t="shared" ref="J132:J136" si="31">+I132/H131</f>
        <v>-1.4937909968030997E-2</v>
      </c>
      <c r="K132" s="1004" t="s">
        <v>997</v>
      </c>
      <c r="L132" s="1005"/>
      <c r="M132" s="1006"/>
      <c r="N132" s="1007"/>
      <c r="P132">
        <v>2019</v>
      </c>
      <c r="Q132" s="779">
        <v>-406878</v>
      </c>
      <c r="R132" s="53">
        <v>464</v>
      </c>
      <c r="S132" s="53"/>
      <c r="T132" s="53">
        <v>-188.791392</v>
      </c>
      <c r="U132" s="53"/>
      <c r="X132" s="11" t="s">
        <v>1999</v>
      </c>
    </row>
    <row r="133" spans="6:28">
      <c r="G133" s="707">
        <v>2020</v>
      </c>
      <c r="H133" s="625">
        <v>26176506</v>
      </c>
      <c r="I133" s="1003">
        <f t="shared" si="30"/>
        <v>-654563</v>
      </c>
      <c r="J133" s="968">
        <f t="shared" si="31"/>
        <v>-2.4395710808242488E-2</v>
      </c>
      <c r="K133" s="620" t="s">
        <v>996</v>
      </c>
      <c r="L133" s="620"/>
      <c r="M133" s="619"/>
      <c r="N133" s="713"/>
      <c r="P133">
        <v>2020</v>
      </c>
      <c r="Q133" s="779">
        <v>-654563</v>
      </c>
      <c r="R133" s="53">
        <v>298</v>
      </c>
      <c r="S133" s="53"/>
      <c r="T133" s="53">
        <v>-195.059774</v>
      </c>
      <c r="U133" s="53"/>
      <c r="Y133" s="40" t="s">
        <v>959</v>
      </c>
      <c r="Z133" s="2071" t="s">
        <v>1998</v>
      </c>
      <c r="AA133" s="2072"/>
    </row>
    <row r="134" spans="6:28">
      <c r="G134" s="707">
        <v>2021</v>
      </c>
      <c r="H134" s="625">
        <v>23865600</v>
      </c>
      <c r="I134" s="1003">
        <f t="shared" si="30"/>
        <v>-2310906</v>
      </c>
      <c r="J134" s="968">
        <f t="shared" si="31"/>
        <v>-8.8281682818936946E-2</v>
      </c>
      <c r="K134" s="1004" t="s">
        <v>995</v>
      </c>
      <c r="L134" s="1005"/>
      <c r="M134" s="122"/>
      <c r="N134" s="123"/>
      <c r="P134">
        <v>2021</v>
      </c>
      <c r="Q134" s="779">
        <v>-2310906</v>
      </c>
      <c r="R134" s="53">
        <v>490</v>
      </c>
      <c r="S134" s="53"/>
      <c r="T134" s="53">
        <v>-1132.34394</v>
      </c>
      <c r="U134" s="53"/>
      <c r="Y134" s="51" t="s">
        <v>1997</v>
      </c>
      <c r="Z134" s="40" t="s">
        <v>1107</v>
      </c>
      <c r="AA134" s="40" t="s">
        <v>1996</v>
      </c>
    </row>
    <row r="135" spans="6:28">
      <c r="G135" s="635">
        <v>2022</v>
      </c>
      <c r="H135" s="623">
        <v>23325305</v>
      </c>
      <c r="I135" s="1074">
        <f t="shared" si="30"/>
        <v>-540295</v>
      </c>
      <c r="J135" s="1075">
        <f t="shared" si="31"/>
        <v>-2.2639070461249664E-2</v>
      </c>
      <c r="K135" s="1002" t="s">
        <v>994</v>
      </c>
      <c r="L135" s="1002"/>
      <c r="M135" s="11"/>
      <c r="N135" s="153"/>
      <c r="P135">
        <v>2022</v>
      </c>
      <c r="Q135" s="779">
        <v>-540295</v>
      </c>
      <c r="R135" s="53">
        <v>509</v>
      </c>
      <c r="S135" s="53"/>
      <c r="T135" s="53">
        <v>-275.010155</v>
      </c>
      <c r="U135" s="53"/>
      <c r="X135" s="45">
        <v>2015</v>
      </c>
      <c r="Y135" s="853">
        <v>1.169</v>
      </c>
      <c r="Z135" s="318">
        <v>502</v>
      </c>
      <c r="AA135" s="318">
        <f>+Y135*Z135</f>
        <v>586.83799999999997</v>
      </c>
    </row>
    <row r="136" spans="6:28">
      <c r="G136" s="707">
        <v>2023</v>
      </c>
      <c r="H136" s="625">
        <v>23003248</v>
      </c>
      <c r="I136" s="625">
        <f>+H136-H135</f>
        <v>-322057</v>
      </c>
      <c r="J136" s="1184">
        <f t="shared" si="31"/>
        <v>-1.3807193517941137E-2</v>
      </c>
      <c r="K136" s="1186" t="s">
        <v>1383</v>
      </c>
      <c r="L136" s="1185"/>
      <c r="M136" s="122"/>
      <c r="N136" s="123"/>
      <c r="P136">
        <v>2023</v>
      </c>
      <c r="Q136" s="779">
        <v>-322057</v>
      </c>
      <c r="R136" s="53">
        <v>764</v>
      </c>
      <c r="S136" s="53"/>
      <c r="T136" s="53">
        <f>+Q136*R136/1000/1000</f>
        <v>-246.051548</v>
      </c>
      <c r="U136" s="53"/>
      <c r="X136" s="45">
        <v>2016</v>
      </c>
      <c r="Y136" s="853">
        <v>1</v>
      </c>
      <c r="Z136" s="318">
        <v>524</v>
      </c>
      <c r="AA136" s="318">
        <f t="shared" ref="AA136:AA137" si="32">+Y136*Z136</f>
        <v>524</v>
      </c>
    </row>
    <row r="137" spans="6:28">
      <c r="P137" t="s">
        <v>19</v>
      </c>
      <c r="Q137" s="779">
        <f>SUM(Q132:Q136)</f>
        <v>-4234699</v>
      </c>
      <c r="R137" s="53">
        <f>+T137/Q137*1000000</f>
        <v>481.08656813624771</v>
      </c>
      <c r="S137" s="53"/>
      <c r="T137" s="53">
        <f>SUM(T132:T136)</f>
        <v>-2037.256809</v>
      </c>
      <c r="U137" s="53"/>
      <c r="X137" s="45">
        <v>2017</v>
      </c>
      <c r="Y137" s="853">
        <v>5.0759999999999996</v>
      </c>
      <c r="Z137" s="318">
        <v>432</v>
      </c>
      <c r="AA137" s="318">
        <f t="shared" si="32"/>
        <v>2192.8319999999999</v>
      </c>
    </row>
    <row r="138" spans="6:28">
      <c r="G138" s="1081" t="s">
        <v>1299</v>
      </c>
      <c r="H138" s="917"/>
      <c r="I138" s="1082">
        <f>+H136-H131</f>
        <v>-4234699</v>
      </c>
      <c r="J138" s="1083">
        <f>+I138/H131</f>
        <v>-0.15547056465011846</v>
      </c>
      <c r="K138" s="1084" t="s">
        <v>1460</v>
      </c>
      <c r="L138" s="1084"/>
      <c r="M138" s="1084"/>
      <c r="N138" s="1085"/>
      <c r="X138" s="829" t="s">
        <v>19</v>
      </c>
      <c r="Y138" s="1675">
        <f>SUM(Y135:Y137)</f>
        <v>7.2449999999999992</v>
      </c>
      <c r="Z138" s="793">
        <f>+AA138/Y138</f>
        <v>455.99309868875093</v>
      </c>
      <c r="AA138" s="793">
        <f>SUM(AA135:AA137)</f>
        <v>3303.67</v>
      </c>
    </row>
    <row r="139" spans="6:28">
      <c r="G139" s="515" t="s">
        <v>1371</v>
      </c>
      <c r="H139" s="63"/>
      <c r="I139" s="1079">
        <f>+I138/5</f>
        <v>-846939.8</v>
      </c>
      <c r="J139" s="1080">
        <f>+J138/5</f>
        <v>-3.1094112930023694E-2</v>
      </c>
      <c r="K139" s="63" t="s">
        <v>1005</v>
      </c>
      <c r="L139" s="63"/>
      <c r="M139" s="63"/>
      <c r="N139" s="28"/>
      <c r="P139" s="779">
        <f>+O159-O166</f>
        <v>6082607</v>
      </c>
    </row>
    <row r="140" spans="6:28">
      <c r="G140" s="7"/>
      <c r="I140" s="779"/>
      <c r="J140" s="1286"/>
      <c r="Q140" s="779"/>
      <c r="R140" s="779"/>
      <c r="S140" s="779"/>
      <c r="T140" s="779"/>
    </row>
    <row r="141" spans="6:28">
      <c r="F141" s="7"/>
      <c r="H141" s="779"/>
      <c r="I141" s="1286"/>
      <c r="P141" s="1397" t="s">
        <v>1629</v>
      </c>
      <c r="Q141" s="779"/>
      <c r="S141" s="779"/>
      <c r="T141" s="779">
        <f>+P165-J166-K166</f>
        <v>1967008</v>
      </c>
    </row>
    <row r="142" spans="6:28">
      <c r="G142" s="499"/>
      <c r="H142" s="499"/>
      <c r="I142" s="499"/>
      <c r="J142" s="501" t="s">
        <v>813</v>
      </c>
      <c r="K142" s="501" t="s">
        <v>814</v>
      </c>
      <c r="L142" s="499"/>
      <c r="M142" s="499"/>
      <c r="N142" s="499"/>
      <c r="O142" s="499"/>
      <c r="P142" s="42" t="s">
        <v>893</v>
      </c>
      <c r="Q142" s="499"/>
      <c r="S142" s="499"/>
      <c r="T142" s="499"/>
      <c r="U142" s="499"/>
      <c r="V142" s="499"/>
      <c r="W142" s="499"/>
      <c r="X142" s="499"/>
      <c r="Y142" s="499"/>
      <c r="Z142" s="499"/>
      <c r="AA142" s="499"/>
      <c r="AB142" s="499"/>
    </row>
    <row r="143" spans="6:28">
      <c r="G143" s="499"/>
      <c r="H143" s="499"/>
      <c r="I143" s="499"/>
      <c r="J143" s="501"/>
      <c r="K143" s="501"/>
      <c r="L143" s="499"/>
      <c r="M143" s="499"/>
      <c r="N143" s="499"/>
      <c r="O143" s="499"/>
      <c r="P143" s="42"/>
      <c r="Q143" s="499"/>
      <c r="S143" s="499"/>
      <c r="T143" s="499"/>
      <c r="U143" s="499"/>
      <c r="V143" s="499"/>
      <c r="W143" s="499"/>
      <c r="X143" s="499"/>
      <c r="Y143" s="499"/>
      <c r="Z143" s="499"/>
      <c r="AA143" s="499"/>
      <c r="AB143" s="499"/>
    </row>
    <row r="144" spans="6:28">
      <c r="F144" s="11" t="s">
        <v>2369</v>
      </c>
      <c r="G144" s="499"/>
      <c r="H144" s="499"/>
      <c r="I144" s="499"/>
      <c r="J144" s="499"/>
      <c r="K144" s="499"/>
      <c r="L144" s="499"/>
      <c r="M144" s="499"/>
      <c r="N144" s="499"/>
      <c r="O144" s="499"/>
      <c r="P144" s="502" t="s">
        <v>1342</v>
      </c>
      <c r="Q144" s="499"/>
      <c r="S144" s="499"/>
      <c r="T144" s="499"/>
      <c r="U144" s="499"/>
      <c r="V144" s="499"/>
      <c r="W144" s="499"/>
      <c r="X144" s="499"/>
      <c r="Y144" s="499"/>
      <c r="Z144" s="499"/>
      <c r="AA144" s="499"/>
      <c r="AB144" s="499"/>
    </row>
    <row r="145" spans="2:32">
      <c r="G145" s="501"/>
      <c r="H145" s="501"/>
      <c r="I145" s="501"/>
      <c r="J145" s="501"/>
      <c r="K145" s="499"/>
      <c r="L145" s="501"/>
      <c r="M145" s="501"/>
      <c r="N145" s="502" t="s">
        <v>1480</v>
      </c>
      <c r="O145" s="1645" t="s">
        <v>962</v>
      </c>
      <c r="P145" s="503" t="s">
        <v>1470</v>
      </c>
      <c r="Q145" s="499"/>
      <c r="U145" s="499"/>
      <c r="V145" s="499"/>
      <c r="X145" s="499"/>
      <c r="Y145" s="499"/>
      <c r="Z145" s="499"/>
      <c r="AA145" s="499"/>
      <c r="AB145" s="499"/>
    </row>
    <row r="146" spans="2:32">
      <c r="G146" s="502" t="s">
        <v>1470</v>
      </c>
      <c r="H146" s="501"/>
      <c r="I146" s="501"/>
      <c r="J146" s="501"/>
      <c r="K146" s="499"/>
      <c r="L146" s="502" t="s">
        <v>1470</v>
      </c>
      <c r="M146" s="501"/>
      <c r="N146" s="503" t="s">
        <v>1481</v>
      </c>
      <c r="O146" s="1604" t="s">
        <v>1483</v>
      </c>
      <c r="P146" s="503" t="s">
        <v>1471</v>
      </c>
      <c r="Q146" s="501"/>
      <c r="S146" s="11" t="s">
        <v>2371</v>
      </c>
      <c r="T146" s="499"/>
      <c r="U146" s="499"/>
      <c r="V146" s="499"/>
      <c r="W146" s="499"/>
      <c r="X146" s="499"/>
      <c r="Y146" s="499"/>
      <c r="Z146" s="499"/>
      <c r="AA146" s="499"/>
      <c r="AB146" s="499"/>
    </row>
    <row r="147" spans="2:32">
      <c r="F147" s="1979"/>
      <c r="G147" s="503" t="s">
        <v>1471</v>
      </c>
      <c r="H147" s="502" t="s">
        <v>1492</v>
      </c>
      <c r="I147" s="502" t="s">
        <v>1475</v>
      </c>
      <c r="J147" s="502" t="s">
        <v>1342</v>
      </c>
      <c r="K147" s="1278" t="s">
        <v>1342</v>
      </c>
      <c r="L147" s="503" t="s">
        <v>1471</v>
      </c>
      <c r="M147" s="1278" t="s">
        <v>1479</v>
      </c>
      <c r="N147" s="503" t="s">
        <v>1482</v>
      </c>
      <c r="O147" s="1604" t="s">
        <v>1484</v>
      </c>
      <c r="P147" s="503" t="s">
        <v>1504</v>
      </c>
      <c r="Q147" s="1606" t="s">
        <v>1505</v>
      </c>
      <c r="S147" s="501"/>
      <c r="T147" s="2146" t="s">
        <v>1494</v>
      </c>
      <c r="U147" s="2146"/>
      <c r="V147" s="2146"/>
      <c r="W147" s="2120" t="s">
        <v>1495</v>
      </c>
      <c r="X147" s="2121"/>
      <c r="Y147" s="2122"/>
      <c r="Z147" s="2156" t="s">
        <v>1488</v>
      </c>
      <c r="AA147" s="2158"/>
      <c r="AB147" s="2157"/>
    </row>
    <row r="148" spans="2:32">
      <c r="G148" s="503" t="s">
        <v>959</v>
      </c>
      <c r="H148" s="503" t="s">
        <v>1473</v>
      </c>
      <c r="I148" s="503" t="s">
        <v>1476</v>
      </c>
      <c r="J148" s="503" t="s">
        <v>959</v>
      </c>
      <c r="K148" s="971" t="s">
        <v>959</v>
      </c>
      <c r="L148" s="503" t="s">
        <v>959</v>
      </c>
      <c r="M148" s="971" t="s">
        <v>1471</v>
      </c>
      <c r="N148" s="503" t="s">
        <v>1336</v>
      </c>
      <c r="O148" s="1604" t="s">
        <v>1110</v>
      </c>
      <c r="P148" s="503" t="s">
        <v>1502</v>
      </c>
      <c r="Q148" s="1647" t="s">
        <v>959</v>
      </c>
      <c r="S148" s="501"/>
      <c r="T148" s="2037"/>
      <c r="U148" s="2130" t="s">
        <v>192</v>
      </c>
      <c r="V148" s="2145"/>
      <c r="W148" s="1288"/>
      <c r="X148" s="2120" t="s">
        <v>192</v>
      </c>
      <c r="Y148" s="2122"/>
      <c r="Z148" s="1289"/>
      <c r="AA148" s="2156" t="s">
        <v>1882</v>
      </c>
      <c r="AB148" s="2157"/>
      <c r="AD148" s="502" t="s">
        <v>43</v>
      </c>
    </row>
    <row r="149" spans="2:32">
      <c r="G149" s="1293" t="s">
        <v>1472</v>
      </c>
      <c r="H149" s="504" t="s">
        <v>1474</v>
      </c>
      <c r="I149" s="504" t="s">
        <v>1477</v>
      </c>
      <c r="J149" s="504" t="s">
        <v>1478</v>
      </c>
      <c r="K149" s="972" t="s">
        <v>1493</v>
      </c>
      <c r="L149" s="1294" t="s">
        <v>773</v>
      </c>
      <c r="M149" s="972" t="s">
        <v>959</v>
      </c>
      <c r="N149" s="504" t="s">
        <v>816</v>
      </c>
      <c r="O149" s="1646" t="s">
        <v>773</v>
      </c>
      <c r="P149" s="504" t="s">
        <v>1503</v>
      </c>
      <c r="Q149" s="1648" t="s">
        <v>773</v>
      </c>
      <c r="S149" s="1644"/>
      <c r="T149" s="1290" t="s">
        <v>959</v>
      </c>
      <c r="U149" s="1290" t="s">
        <v>984</v>
      </c>
      <c r="V149" s="1290" t="s">
        <v>1485</v>
      </c>
      <c r="W149" s="1291" t="s">
        <v>959</v>
      </c>
      <c r="X149" s="1291" t="s">
        <v>984</v>
      </c>
      <c r="Y149" s="1291" t="s">
        <v>1485</v>
      </c>
      <c r="Z149" s="1292" t="s">
        <v>959</v>
      </c>
      <c r="AA149" s="1292" t="s">
        <v>984</v>
      </c>
      <c r="AB149" s="1292" t="s">
        <v>1485</v>
      </c>
      <c r="AD149" s="504" t="s">
        <v>1564</v>
      </c>
    </row>
    <row r="150" spans="2:32" hidden="1">
      <c r="F150" s="45">
        <v>2008</v>
      </c>
      <c r="G150" s="1078">
        <v>16918020</v>
      </c>
      <c r="H150" s="1078">
        <v>886888</v>
      </c>
      <c r="I150" s="1078">
        <v>-1066601</v>
      </c>
      <c r="J150" s="1078">
        <v>-252</v>
      </c>
      <c r="K150" s="1078">
        <v>0</v>
      </c>
      <c r="L150" s="1284">
        <f t="shared" ref="L150:L151" si="33">+G150+H150+I150+J150</f>
        <v>16738055</v>
      </c>
      <c r="M150" s="1078">
        <v>1548000</v>
      </c>
      <c r="N150" s="1078">
        <v>-799230</v>
      </c>
      <c r="O150" s="1641">
        <f t="shared" ref="O150:O151" si="34">+L150+M150+N150</f>
        <v>17486825</v>
      </c>
      <c r="P150" s="1977">
        <v>196087</v>
      </c>
      <c r="Q150" s="1649">
        <f t="shared" ref="Q150:Q151" si="35">+O150+P150</f>
        <v>17682912</v>
      </c>
      <c r="S150" s="1644"/>
      <c r="T150" s="1287"/>
      <c r="U150" s="1290"/>
      <c r="V150" s="1290"/>
      <c r="W150" s="1291"/>
      <c r="X150" s="1291"/>
      <c r="Y150" s="1291"/>
      <c r="Z150" s="1292"/>
      <c r="AA150" s="1292"/>
      <c r="AB150" s="1500"/>
      <c r="AD150" s="504"/>
    </row>
    <row r="151" spans="2:32" hidden="1">
      <c r="F151" s="45">
        <v>2009</v>
      </c>
      <c r="G151" s="1078">
        <v>16738055</v>
      </c>
      <c r="H151" s="1078">
        <v>2881844</v>
      </c>
      <c r="I151" s="1078">
        <v>-360100</v>
      </c>
      <c r="J151" s="1078">
        <v>-19699</v>
      </c>
      <c r="K151" s="1078">
        <v>0</v>
      </c>
      <c r="L151" s="1284">
        <f t="shared" si="33"/>
        <v>19240100</v>
      </c>
      <c r="M151" s="1078">
        <v>1548000</v>
      </c>
      <c r="N151" s="1078">
        <v>-799230</v>
      </c>
      <c r="O151" s="1641">
        <f t="shared" si="34"/>
        <v>19988870</v>
      </c>
      <c r="P151" s="1977">
        <v>96765</v>
      </c>
      <c r="Q151" s="1649">
        <f t="shared" si="35"/>
        <v>20085635</v>
      </c>
      <c r="S151" s="1644"/>
      <c r="T151" s="1287"/>
      <c r="U151" s="1290"/>
      <c r="V151" s="1290"/>
      <c r="W151" s="1291"/>
      <c r="X151" s="1291"/>
      <c r="Y151" s="1291"/>
      <c r="Z151" s="1292"/>
      <c r="AA151" s="1292"/>
      <c r="AB151" s="1500"/>
      <c r="AD151" s="504"/>
    </row>
    <row r="152" spans="2:32" hidden="1">
      <c r="F152" s="45">
        <v>2010</v>
      </c>
      <c r="G152" s="1078">
        <v>19240100</v>
      </c>
      <c r="H152" s="1078">
        <v>563381</v>
      </c>
      <c r="I152" s="1078">
        <v>-43900</v>
      </c>
      <c r="J152" s="1078">
        <v>-53104</v>
      </c>
      <c r="K152" s="1078">
        <v>0</v>
      </c>
      <c r="L152" s="1284">
        <f>+G152+H152+I152+J152</f>
        <v>19706477</v>
      </c>
      <c r="M152" s="1078">
        <v>1548000</v>
      </c>
      <c r="N152" s="1078">
        <v>-799230</v>
      </c>
      <c r="O152" s="1641">
        <f t="shared" ref="O152" si="36">+L152+M152+N152</f>
        <v>20455247</v>
      </c>
      <c r="P152" s="1078">
        <f>238662-53104</f>
        <v>185558</v>
      </c>
      <c r="Q152" s="1649">
        <f>+O152+P152</f>
        <v>20640805</v>
      </c>
      <c r="S152" s="45">
        <v>2010</v>
      </c>
      <c r="T152" s="1287"/>
      <c r="U152" s="1290"/>
      <c r="V152" s="1290"/>
      <c r="W152" s="1291"/>
      <c r="X152" s="1291"/>
      <c r="Y152" s="1291"/>
      <c r="Z152" s="1292"/>
      <c r="AA152" s="1292"/>
      <c r="AB152" s="1292"/>
      <c r="AD152" s="504"/>
    </row>
    <row r="153" spans="2:32" hidden="1">
      <c r="F153" s="45">
        <v>2011</v>
      </c>
      <c r="G153" s="1078">
        <v>19706477</v>
      </c>
      <c r="H153" s="1078">
        <v>0</v>
      </c>
      <c r="I153" s="1078">
        <v>-25700</v>
      </c>
      <c r="J153" s="1078">
        <v>-53751</v>
      </c>
      <c r="K153" s="1078">
        <v>0</v>
      </c>
      <c r="L153" s="1284">
        <f>+G153+H153+I153+J153</f>
        <v>19627026</v>
      </c>
      <c r="M153" s="1078">
        <v>1548000</v>
      </c>
      <c r="N153" s="1078">
        <v>-799230</v>
      </c>
      <c r="O153" s="1641">
        <f t="shared" ref="O153" si="37">+L153+M153+N153</f>
        <v>20375796</v>
      </c>
      <c r="P153" s="1078">
        <v>238663</v>
      </c>
      <c r="Q153" s="1649">
        <f>+O153+P153</f>
        <v>20614459</v>
      </c>
      <c r="S153" s="45">
        <v>2011</v>
      </c>
      <c r="T153" s="1287"/>
      <c r="U153" s="1290"/>
      <c r="V153" s="1290"/>
      <c r="W153" s="1291"/>
      <c r="X153" s="1291"/>
      <c r="Y153" s="1291"/>
      <c r="Z153" s="1292"/>
      <c r="AA153" s="1292"/>
      <c r="AB153" s="1292"/>
      <c r="AD153" s="504"/>
    </row>
    <row r="154" spans="2:32" hidden="1">
      <c r="F154" s="45">
        <v>2012</v>
      </c>
      <c r="G154" s="1078">
        <v>19627026</v>
      </c>
      <c r="H154" s="1078">
        <v>0</v>
      </c>
      <c r="I154" s="1078">
        <v>0</v>
      </c>
      <c r="J154" s="1078">
        <v>-130385</v>
      </c>
      <c r="K154" s="1078">
        <v>0</v>
      </c>
      <c r="L154" s="1284">
        <f>+G154+H154+I154+J154</f>
        <v>19496641</v>
      </c>
      <c r="M154" s="1078">
        <v>1548000</v>
      </c>
      <c r="N154" s="1078">
        <v>-799230</v>
      </c>
      <c r="O154" s="1641">
        <f t="shared" ref="O154" si="38">+L154+M154+N154</f>
        <v>20245411</v>
      </c>
      <c r="P154" s="1078">
        <v>369048</v>
      </c>
      <c r="Q154" s="1649">
        <f>+O154+P154</f>
        <v>20614459</v>
      </c>
      <c r="S154" s="45">
        <v>2012</v>
      </c>
      <c r="T154" s="1287"/>
      <c r="U154" s="1290"/>
      <c r="V154" s="1290"/>
      <c r="W154" s="1291"/>
      <c r="X154" s="1291"/>
      <c r="Y154" s="1291"/>
      <c r="Z154" s="1292"/>
      <c r="AA154" s="1292"/>
      <c r="AB154" s="1292"/>
      <c r="AD154" s="504"/>
    </row>
    <row r="155" spans="2:32">
      <c r="F155" s="45">
        <v>2013</v>
      </c>
      <c r="G155" s="1078">
        <v>19496641</v>
      </c>
      <c r="H155" s="1078">
        <v>1000000</v>
      </c>
      <c r="I155" s="1078">
        <v>-36</v>
      </c>
      <c r="J155" s="1078">
        <v>-45373</v>
      </c>
      <c r="K155" s="1078">
        <v>0</v>
      </c>
      <c r="L155" s="1284">
        <f>+G155+H155+I155+J155</f>
        <v>20451232</v>
      </c>
      <c r="M155" s="1078">
        <v>1548000</v>
      </c>
      <c r="N155" s="1078">
        <v>-799230</v>
      </c>
      <c r="O155" s="1641">
        <f t="shared" ref="O155:O163" si="39">+L155+M155+N155</f>
        <v>21200002</v>
      </c>
      <c r="P155" s="1078">
        <v>414421</v>
      </c>
      <c r="Q155" s="1649">
        <f>+O155+P155</f>
        <v>21614423</v>
      </c>
      <c r="S155" s="45">
        <v>2013</v>
      </c>
      <c r="T155" s="1643">
        <v>36</v>
      </c>
      <c r="U155" s="740">
        <f>+T155*V155/1000/1000</f>
        <v>1.4500079999999999E-2</v>
      </c>
      <c r="V155" s="740">
        <v>402.78</v>
      </c>
      <c r="W155" s="438"/>
      <c r="X155" s="438"/>
      <c r="Y155" s="438"/>
      <c r="Z155" s="977">
        <v>1000000</v>
      </c>
      <c r="AA155" s="1146">
        <v>399.49</v>
      </c>
      <c r="AB155" s="765">
        <f>+AA155/Z155*1000000</f>
        <v>399.49</v>
      </c>
      <c r="AD155" s="318">
        <v>339</v>
      </c>
      <c r="AE155" s="45">
        <v>2013</v>
      </c>
      <c r="AF155" t="s">
        <v>1491</v>
      </c>
    </row>
    <row r="156" spans="2:32">
      <c r="F156" s="45">
        <v>2014</v>
      </c>
      <c r="G156" s="1078">
        <v>20451232</v>
      </c>
      <c r="H156" s="1078">
        <v>0</v>
      </c>
      <c r="I156" s="1078">
        <v>-8</v>
      </c>
      <c r="J156" s="1078">
        <v>-23826</v>
      </c>
      <c r="K156" s="1078">
        <v>0</v>
      </c>
      <c r="L156" s="1284">
        <f>+G156+H156+I156+J156</f>
        <v>20427398</v>
      </c>
      <c r="M156" s="1078">
        <v>1548000</v>
      </c>
      <c r="N156" s="1078">
        <v>-799230</v>
      </c>
      <c r="O156" s="1641">
        <f t="shared" si="39"/>
        <v>21176168</v>
      </c>
      <c r="P156" s="1078">
        <v>438247</v>
      </c>
      <c r="Q156" s="1649">
        <f t="shared" ref="Q156:Q161" si="40">+O156+P156</f>
        <v>21614415</v>
      </c>
      <c r="S156" s="45">
        <v>2014</v>
      </c>
      <c r="T156" s="1643">
        <v>8</v>
      </c>
      <c r="U156" s="740">
        <f>+T156*V156/1000/1000</f>
        <v>3.4478400000000002E-3</v>
      </c>
      <c r="V156" s="740">
        <v>430.98</v>
      </c>
      <c r="W156" s="1285">
        <v>53421</v>
      </c>
      <c r="X156" s="848">
        <v>24.6</v>
      </c>
      <c r="Y156" s="719">
        <f t="shared" ref="Y156:Y163" si="41">+X156/W156*1000000</f>
        <v>460.49306452518675</v>
      </c>
      <c r="Z156" s="977">
        <v>0</v>
      </c>
      <c r="AA156" s="1146">
        <v>0</v>
      </c>
      <c r="AB156" s="765">
        <v>0</v>
      </c>
      <c r="AD156" s="318">
        <v>394.83</v>
      </c>
      <c r="AE156" s="45">
        <v>2014</v>
      </c>
    </row>
    <row r="157" spans="2:32">
      <c r="F157" s="45">
        <v>2015</v>
      </c>
      <c r="G157" s="1078">
        <v>20427398</v>
      </c>
      <c r="H157" s="1078">
        <v>1169294</v>
      </c>
      <c r="I157" s="1078">
        <v>0</v>
      </c>
      <c r="J157" s="1078">
        <v>-185156</v>
      </c>
      <c r="K157" s="1078">
        <v>53553</v>
      </c>
      <c r="L157" s="1284">
        <f t="shared" ref="L157:L163" si="42">+G157+H157+I157+J157+K157</f>
        <v>21465089</v>
      </c>
      <c r="M157" s="1078">
        <v>1548000</v>
      </c>
      <c r="N157" s="1078">
        <v>-799230</v>
      </c>
      <c r="O157" s="1641">
        <f t="shared" si="39"/>
        <v>22213859</v>
      </c>
      <c r="P157" s="1078">
        <v>569850</v>
      </c>
      <c r="Q157" s="1649">
        <f t="shared" si="40"/>
        <v>22783709</v>
      </c>
      <c r="S157" s="45">
        <v>2015</v>
      </c>
      <c r="T157" s="1643">
        <v>0</v>
      </c>
      <c r="U157" s="740">
        <v>0</v>
      </c>
      <c r="V157" s="740">
        <f>+U157/Y157*1000000</f>
        <v>0</v>
      </c>
      <c r="W157" s="1285">
        <v>185156</v>
      </c>
      <c r="X157" s="848">
        <v>95.5</v>
      </c>
      <c r="Y157" s="719">
        <f t="shared" si="41"/>
        <v>515.78128713085187</v>
      </c>
      <c r="Z157" s="977">
        <v>1169294</v>
      </c>
      <c r="AA157" s="1146">
        <v>587</v>
      </c>
      <c r="AB157" s="765">
        <f>+AA157/Z157*1000000</f>
        <v>502.0123253860877</v>
      </c>
      <c r="AD157" s="318">
        <v>403.01</v>
      </c>
      <c r="AE157" s="45">
        <v>2015</v>
      </c>
      <c r="AF157" t="s">
        <v>1490</v>
      </c>
    </row>
    <row r="158" spans="2:32">
      <c r="F158" s="45">
        <v>2016</v>
      </c>
      <c r="G158" s="1078">
        <v>21465089</v>
      </c>
      <c r="H158" s="1078">
        <v>1000000</v>
      </c>
      <c r="I158" s="1078">
        <v>-30732</v>
      </c>
      <c r="J158" s="1078">
        <v>-130075</v>
      </c>
      <c r="K158" s="1078">
        <v>40514</v>
      </c>
      <c r="L158" s="1284">
        <f t="shared" si="42"/>
        <v>22344796</v>
      </c>
      <c r="M158" s="1078">
        <v>1548000</v>
      </c>
      <c r="N158" s="1078">
        <v>-799230</v>
      </c>
      <c r="O158" s="1641">
        <f t="shared" si="39"/>
        <v>23093566</v>
      </c>
      <c r="P158" s="1078">
        <v>659411</v>
      </c>
      <c r="Q158" s="1649">
        <f t="shared" si="40"/>
        <v>23752977</v>
      </c>
      <c r="S158" s="45">
        <v>2016</v>
      </c>
      <c r="T158" s="1643">
        <v>30732</v>
      </c>
      <c r="U158" s="740">
        <v>14.1</v>
      </c>
      <c r="V158" s="740">
        <f t="shared" ref="V158:V165" si="43">+U158/T158*1000000</f>
        <v>458.80515423662632</v>
      </c>
      <c r="W158" s="1285">
        <v>130075</v>
      </c>
      <c r="X158" s="848">
        <v>64.2</v>
      </c>
      <c r="Y158" s="719">
        <f t="shared" si="41"/>
        <v>493.56140688064585</v>
      </c>
      <c r="Z158" s="977">
        <v>1000000</v>
      </c>
      <c r="AA158" s="1146">
        <v>523.5</v>
      </c>
      <c r="AB158" s="765">
        <f>+AA158/Z158*1000000</f>
        <v>523.5</v>
      </c>
      <c r="AD158" s="318">
        <v>367.4</v>
      </c>
      <c r="AE158" s="45">
        <v>2016</v>
      </c>
      <c r="AF158" t="s">
        <v>1489</v>
      </c>
    </row>
    <row r="159" spans="2:32">
      <c r="B159" t="s">
        <v>1745</v>
      </c>
      <c r="F159" s="45">
        <v>2017</v>
      </c>
      <c r="G159" s="1078">
        <v>22344796</v>
      </c>
      <c r="H159" s="1078">
        <v>5084961</v>
      </c>
      <c r="I159" s="1078">
        <v>-184367</v>
      </c>
      <c r="J159" s="1078">
        <v>-277364</v>
      </c>
      <c r="K159" s="1078">
        <v>34277</v>
      </c>
      <c r="L159" s="1284">
        <f t="shared" si="42"/>
        <v>27002303</v>
      </c>
      <c r="M159" s="1078">
        <v>1548000</v>
      </c>
      <c r="N159" s="1078">
        <v>-799230</v>
      </c>
      <c r="O159" s="1641">
        <f t="shared" si="39"/>
        <v>27751073</v>
      </c>
      <c r="P159" s="1078">
        <v>902498</v>
      </c>
      <c r="Q159" s="1649">
        <f t="shared" si="40"/>
        <v>28653571</v>
      </c>
      <c r="S159" s="45">
        <v>2017</v>
      </c>
      <c r="T159" s="1643">
        <v>184367</v>
      </c>
      <c r="U159" s="740">
        <v>96.2</v>
      </c>
      <c r="V159" s="740">
        <f t="shared" si="43"/>
        <v>521.7853520423937</v>
      </c>
      <c r="W159" s="1285">
        <v>277364</v>
      </c>
      <c r="X159" s="848">
        <v>140.5</v>
      </c>
      <c r="Y159" s="719">
        <f t="shared" si="41"/>
        <v>506.55456367805488</v>
      </c>
      <c r="Z159" s="977">
        <v>5075894</v>
      </c>
      <c r="AA159" s="1146">
        <v>2191.6</v>
      </c>
      <c r="AB159" s="765">
        <f>+AA159/Z159*1000000</f>
        <v>431.76630560055031</v>
      </c>
      <c r="AD159" s="318">
        <v>449.55</v>
      </c>
      <c r="AE159" s="45">
        <v>2017</v>
      </c>
      <c r="AF159" t="s">
        <v>1501</v>
      </c>
    </row>
    <row r="160" spans="2:32">
      <c r="B160" s="39" t="s">
        <v>14</v>
      </c>
      <c r="C160" s="39" t="s">
        <v>984</v>
      </c>
      <c r="D160" s="39" t="s">
        <v>1485</v>
      </c>
      <c r="F160" s="45">
        <v>2018</v>
      </c>
      <c r="G160" s="1078">
        <v>27002303</v>
      </c>
      <c r="H160" s="1078">
        <v>0</v>
      </c>
      <c r="I160" s="1078">
        <v>-187476</v>
      </c>
      <c r="J160" s="1078">
        <v>-415538</v>
      </c>
      <c r="K160" s="1078">
        <v>89888</v>
      </c>
      <c r="L160" s="1284">
        <f t="shared" si="42"/>
        <v>26489177</v>
      </c>
      <c r="M160" s="1078">
        <v>1548000</v>
      </c>
      <c r="N160" s="1078">
        <v>-799230</v>
      </c>
      <c r="O160" s="1641">
        <f t="shared" si="39"/>
        <v>27237947</v>
      </c>
      <c r="P160" s="1078">
        <v>1228148</v>
      </c>
      <c r="Q160" s="1649">
        <f t="shared" si="40"/>
        <v>28466095</v>
      </c>
      <c r="S160" s="45">
        <v>2018</v>
      </c>
      <c r="T160" s="1643">
        <v>187476</v>
      </c>
      <c r="U160" s="740">
        <v>92.7</v>
      </c>
      <c r="V160" s="740">
        <f t="shared" si="43"/>
        <v>494.46329130128657</v>
      </c>
      <c r="W160" s="1285">
        <v>415538</v>
      </c>
      <c r="X160" s="848">
        <v>214</v>
      </c>
      <c r="Y160" s="719">
        <f t="shared" si="41"/>
        <v>514.99501850612944</v>
      </c>
      <c r="Z160" s="977">
        <v>0</v>
      </c>
      <c r="AA160" s="1146">
        <v>0</v>
      </c>
      <c r="AB160" s="765">
        <v>0</v>
      </c>
      <c r="AD160" s="318">
        <v>432.46</v>
      </c>
      <c r="AE160" s="45">
        <v>2018</v>
      </c>
    </row>
    <row r="161" spans="2:35">
      <c r="B161" s="1078">
        <f t="shared" ref="B161:D165" si="44">+T161</f>
        <v>249361</v>
      </c>
      <c r="C161" s="318">
        <f t="shared" si="44"/>
        <v>118</v>
      </c>
      <c r="D161" s="318">
        <f t="shared" si="44"/>
        <v>473.20952354217377</v>
      </c>
      <c r="F161" s="45">
        <v>2019</v>
      </c>
      <c r="G161" s="1078">
        <f>+L160</f>
        <v>26489177</v>
      </c>
      <c r="H161" s="1078">
        <v>0</v>
      </c>
      <c r="I161" s="1078">
        <v>-249361</v>
      </c>
      <c r="J161" s="1078">
        <v>-229189</v>
      </c>
      <c r="K161" s="1078">
        <v>71672</v>
      </c>
      <c r="L161" s="1284">
        <f t="shared" si="42"/>
        <v>26082299</v>
      </c>
      <c r="M161" s="1078">
        <v>1548000</v>
      </c>
      <c r="N161" s="1078">
        <v>-799230</v>
      </c>
      <c r="O161" s="1641">
        <f t="shared" si="39"/>
        <v>26831069</v>
      </c>
      <c r="P161" s="1078">
        <v>1385665</v>
      </c>
      <c r="Q161" s="1649">
        <f t="shared" si="40"/>
        <v>28216734</v>
      </c>
      <c r="S161" s="45">
        <v>2019</v>
      </c>
      <c r="T161" s="1643">
        <v>249361</v>
      </c>
      <c r="U161" s="740">
        <v>118</v>
      </c>
      <c r="V161" s="740">
        <f t="shared" si="43"/>
        <v>473.20952354217377</v>
      </c>
      <c r="W161" s="1285">
        <v>229189</v>
      </c>
      <c r="X161" s="848">
        <v>104.4</v>
      </c>
      <c r="Y161" s="719">
        <f t="shared" si="41"/>
        <v>455.51924394277216</v>
      </c>
      <c r="Z161" s="977">
        <v>0</v>
      </c>
      <c r="AA161" s="1146">
        <v>0</v>
      </c>
      <c r="AB161" s="765">
        <v>0</v>
      </c>
      <c r="AD161" s="318">
        <v>486.1</v>
      </c>
      <c r="AE161" s="45">
        <v>2019</v>
      </c>
    </row>
    <row r="162" spans="2:35">
      <c r="B162" s="1078">
        <f t="shared" si="44"/>
        <v>343871</v>
      </c>
      <c r="C162" s="318">
        <f t="shared" si="44"/>
        <v>100.9</v>
      </c>
      <c r="D162" s="318">
        <f t="shared" si="44"/>
        <v>293.4239874836785</v>
      </c>
      <c r="F162" s="45">
        <v>2020</v>
      </c>
      <c r="G162" s="1078">
        <f>+L161</f>
        <v>26082299</v>
      </c>
      <c r="H162" s="1078">
        <v>0</v>
      </c>
      <c r="I162" s="1078">
        <v>-343871</v>
      </c>
      <c r="J162" s="1078">
        <v>-457603</v>
      </c>
      <c r="K162" s="1078">
        <v>146911</v>
      </c>
      <c r="L162" s="1284">
        <f t="shared" si="42"/>
        <v>25427736</v>
      </c>
      <c r="M162" s="1078">
        <v>1548000</v>
      </c>
      <c r="N162" s="1078">
        <v>-799230</v>
      </c>
      <c r="O162" s="1641">
        <f t="shared" si="39"/>
        <v>26176506</v>
      </c>
      <c r="P162" s="1078">
        <v>1696357</v>
      </c>
      <c r="Q162" s="1649">
        <f t="shared" ref="Q162" si="45">+O162+P162</f>
        <v>27872863</v>
      </c>
      <c r="S162" s="45">
        <v>2020</v>
      </c>
      <c r="T162" s="1643">
        <v>343871</v>
      </c>
      <c r="U162" s="740">
        <v>100.9</v>
      </c>
      <c r="V162" s="740">
        <f t="shared" si="43"/>
        <v>293.4239874836785</v>
      </c>
      <c r="W162" s="1285">
        <v>457603</v>
      </c>
      <c r="X162" s="848">
        <v>137.9</v>
      </c>
      <c r="Y162" s="719">
        <f t="shared" si="41"/>
        <v>301.35291945201408</v>
      </c>
      <c r="Z162" s="977">
        <v>0</v>
      </c>
      <c r="AA162" s="1146">
        <v>0</v>
      </c>
      <c r="AB162" s="765">
        <v>0</v>
      </c>
      <c r="AD162" s="318">
        <v>478.33</v>
      </c>
      <c r="AE162" s="45">
        <v>2020</v>
      </c>
      <c r="AG162" s="779">
        <f>+O162-O161</f>
        <v>-654563</v>
      </c>
      <c r="AH162" s="340">
        <v>297</v>
      </c>
      <c r="AI162" s="53">
        <f>+AG162*AH162/1000000</f>
        <v>-194.40521100000001</v>
      </c>
    </row>
    <row r="163" spans="2:35">
      <c r="B163" s="1078">
        <f t="shared" si="44"/>
        <v>2137023</v>
      </c>
      <c r="C163" s="318">
        <f t="shared" si="44"/>
        <v>1058.0999999999999</v>
      </c>
      <c r="D163" s="318">
        <f t="shared" si="44"/>
        <v>495.12803558969648</v>
      </c>
      <c r="F163" s="45">
        <v>2021</v>
      </c>
      <c r="G163" s="1078">
        <f>+L162</f>
        <v>25427736</v>
      </c>
      <c r="H163" s="1078">
        <v>0</v>
      </c>
      <c r="I163" s="1078">
        <v>-2137923</v>
      </c>
      <c r="J163" s="1078">
        <v>-293197</v>
      </c>
      <c r="K163" s="1078">
        <v>120214</v>
      </c>
      <c r="L163" s="1284">
        <f t="shared" si="42"/>
        <v>23116830</v>
      </c>
      <c r="M163" s="1078">
        <v>1548000</v>
      </c>
      <c r="N163" s="1078">
        <v>-799230</v>
      </c>
      <c r="O163" s="1641">
        <f t="shared" si="39"/>
        <v>23865600</v>
      </c>
      <c r="P163" s="1078">
        <v>1869340</v>
      </c>
      <c r="Q163" s="1649">
        <f t="shared" ref="Q163" si="46">+O163+P163</f>
        <v>25734940</v>
      </c>
      <c r="S163" s="45">
        <v>2021</v>
      </c>
      <c r="T163" s="1643">
        <f>137023+2000000</f>
        <v>2137023</v>
      </c>
      <c r="U163" s="740">
        <f>58.1+1000</f>
        <v>1058.0999999999999</v>
      </c>
      <c r="V163" s="740">
        <f t="shared" si="43"/>
        <v>495.12803558969648</v>
      </c>
      <c r="W163" s="1285">
        <v>293197</v>
      </c>
      <c r="X163" s="848">
        <v>132.6</v>
      </c>
      <c r="Y163" s="719">
        <f t="shared" si="41"/>
        <v>452.25565063762588</v>
      </c>
      <c r="Z163" s="977">
        <v>0</v>
      </c>
      <c r="AA163" s="1146">
        <v>0</v>
      </c>
      <c r="AB163" s="765">
        <v>0</v>
      </c>
      <c r="AD163" s="318">
        <v>630.6</v>
      </c>
      <c r="AE163" s="45">
        <v>2021</v>
      </c>
      <c r="AG163" s="779">
        <f>+(O163-O162)+2000000</f>
        <v>-310906</v>
      </c>
      <c r="AH163" s="340">
        <v>445</v>
      </c>
      <c r="AI163" s="53">
        <f t="shared" ref="AI163:AI165" si="47">+AG163*AH163/1000000</f>
        <v>-138.35317000000001</v>
      </c>
    </row>
    <row r="164" spans="2:35">
      <c r="B164" s="1078">
        <f t="shared" si="44"/>
        <v>387790</v>
      </c>
      <c r="C164" s="318">
        <f t="shared" si="44"/>
        <v>199.6</v>
      </c>
      <c r="D164" s="318">
        <f t="shared" si="44"/>
        <v>514.71157069547951</v>
      </c>
      <c r="F164" s="45">
        <v>2022</v>
      </c>
      <c r="G164" s="1078">
        <f>+L163</f>
        <v>23116830</v>
      </c>
      <c r="H164" s="1078">
        <v>0</v>
      </c>
      <c r="I164" s="1078">
        <v>-387790</v>
      </c>
      <c r="J164" s="1078">
        <v>-295474</v>
      </c>
      <c r="K164" s="1078">
        <v>142969</v>
      </c>
      <c r="L164" s="1284">
        <f>+G164+H164+I164+J164+K164</f>
        <v>22576535</v>
      </c>
      <c r="M164" s="1078">
        <v>1548000</v>
      </c>
      <c r="N164" s="1078">
        <v>-799230</v>
      </c>
      <c r="O164" s="1641">
        <f>+L164+M164+N164</f>
        <v>23325305</v>
      </c>
      <c r="P164" s="1078">
        <v>2021845</v>
      </c>
      <c r="Q164" s="1649">
        <f t="shared" ref="Q164" si="48">+O164+P164</f>
        <v>25347150</v>
      </c>
      <c r="S164" s="45">
        <v>2022</v>
      </c>
      <c r="T164" s="1643">
        <v>387790</v>
      </c>
      <c r="U164" s="740">
        <v>199.6</v>
      </c>
      <c r="V164" s="740">
        <f t="shared" si="43"/>
        <v>514.71157069547951</v>
      </c>
      <c r="W164" s="1285">
        <v>295474</v>
      </c>
      <c r="X164" s="848">
        <v>148.19999999999999</v>
      </c>
      <c r="Y164" s="719">
        <f>+X164/W164*1000000</f>
        <v>501.56697374388267</v>
      </c>
      <c r="Z164" s="977">
        <v>0</v>
      </c>
      <c r="AA164" s="1146">
        <v>0</v>
      </c>
      <c r="AB164" s="765">
        <v>0</v>
      </c>
      <c r="AD164" s="318">
        <v>657.68</v>
      </c>
      <c r="AE164" s="45">
        <v>2022</v>
      </c>
      <c r="AG164" s="779">
        <f>+O164-O163</f>
        <v>-540295</v>
      </c>
      <c r="AH164" s="340">
        <v>510</v>
      </c>
      <c r="AI164" s="53">
        <f t="shared" si="47"/>
        <v>-275.55045000000001</v>
      </c>
    </row>
    <row r="165" spans="2:35">
      <c r="B165" s="1078">
        <f t="shared" si="44"/>
        <v>364723</v>
      </c>
      <c r="C165" s="318">
        <f t="shared" si="44"/>
        <v>273.60000000000002</v>
      </c>
      <c r="D165" s="318">
        <f t="shared" si="44"/>
        <v>750.15833934245995</v>
      </c>
      <c r="F165" s="45">
        <v>2023</v>
      </c>
      <c r="G165" s="1078">
        <f>+L164</f>
        <v>22576535</v>
      </c>
      <c r="H165" s="1078">
        <v>0</v>
      </c>
      <c r="I165" s="1078">
        <v>-364723</v>
      </c>
      <c r="J165" s="1078">
        <v>-110528</v>
      </c>
      <c r="K165" s="1078">
        <v>153194</v>
      </c>
      <c r="L165" s="1284">
        <f>+G165+H165+I165+J165+K165</f>
        <v>22254478</v>
      </c>
      <c r="M165" s="1078">
        <v>1548000</v>
      </c>
      <c r="N165" s="1078">
        <v>-799230</v>
      </c>
      <c r="O165" s="1641">
        <f>+L165+M165+N165</f>
        <v>23003248</v>
      </c>
      <c r="P165" s="1078">
        <v>1979179</v>
      </c>
      <c r="Q165" s="1649">
        <f t="shared" ref="Q165" si="49">+O165+P165</f>
        <v>24982427</v>
      </c>
      <c r="S165" s="45">
        <v>2023</v>
      </c>
      <c r="T165" s="1643">
        <v>364723</v>
      </c>
      <c r="U165" s="740">
        <v>273.60000000000002</v>
      </c>
      <c r="V165" s="740">
        <f t="shared" si="43"/>
        <v>750.15833934245995</v>
      </c>
      <c r="W165" s="1285">
        <v>110528</v>
      </c>
      <c r="X165" s="848">
        <v>89.6</v>
      </c>
      <c r="Y165" s="719">
        <f>+X165/W165*1000000</f>
        <v>810.65431383902717</v>
      </c>
      <c r="Z165" s="977">
        <v>0</v>
      </c>
      <c r="AA165" s="1146">
        <v>0</v>
      </c>
      <c r="AB165" s="765">
        <v>0</v>
      </c>
      <c r="AD165" s="318">
        <v>939.65</v>
      </c>
      <c r="AE165" s="45">
        <v>2023</v>
      </c>
      <c r="AG165" s="779">
        <f>+O165-O164</f>
        <v>-322057</v>
      </c>
      <c r="AH165" s="340">
        <f>+V165</f>
        <v>750.15833934245995</v>
      </c>
      <c r="AI165" s="53">
        <f t="shared" si="47"/>
        <v>-241.59374429361463</v>
      </c>
    </row>
    <row r="166" spans="2:35">
      <c r="B166" s="1284">
        <f>SUM(B161:B165)</f>
        <v>3482768</v>
      </c>
      <c r="C166" s="336">
        <f>SUM(C161:C165)</f>
        <v>1750.1999999999998</v>
      </c>
      <c r="D166" s="336">
        <f>+C166/B166*1000000</f>
        <v>502.53131991565328</v>
      </c>
      <c r="F166" s="45">
        <v>2024</v>
      </c>
      <c r="G166" s="1078">
        <v>22254478</v>
      </c>
      <c r="H166" s="1078">
        <v>0</v>
      </c>
      <c r="I166" s="1078">
        <v>-1346953</v>
      </c>
      <c r="J166" s="1078">
        <v>-207974</v>
      </c>
      <c r="K166" s="1078">
        <v>220145</v>
      </c>
      <c r="L166" s="1284">
        <f>+G166+H166+I166+J166+K166</f>
        <v>20919696</v>
      </c>
      <c r="M166" s="1078">
        <v>1548000</v>
      </c>
      <c r="N166" s="1078">
        <v>-799230</v>
      </c>
      <c r="O166" s="1641">
        <f>+L166+M166+N166</f>
        <v>21668466</v>
      </c>
      <c r="P166" s="1078">
        <f>+P165-J166-K166</f>
        <v>1967008</v>
      </c>
      <c r="Q166" s="1649">
        <f t="shared" ref="Q166" si="50">+O166+P166</f>
        <v>23635474</v>
      </c>
      <c r="S166" s="45">
        <v>2024</v>
      </c>
      <c r="T166" s="1643">
        <v>1346953</v>
      </c>
      <c r="U166" s="740">
        <v>1588.4</v>
      </c>
      <c r="V166" s="740">
        <f t="shared" ref="V166" si="51">+U166/T166*1000000</f>
        <v>1179.2542130274776</v>
      </c>
      <c r="W166" s="1285">
        <v>207974</v>
      </c>
      <c r="X166" s="848">
        <v>240.4</v>
      </c>
      <c r="Y166" s="719">
        <f>+X166/W166*1000000</f>
        <v>1155.9137199842289</v>
      </c>
      <c r="Z166" s="977">
        <v>0</v>
      </c>
      <c r="AA166" s="1146">
        <v>0</v>
      </c>
      <c r="AB166" s="765">
        <v>0</v>
      </c>
      <c r="AD166" s="318">
        <v>1060</v>
      </c>
      <c r="AE166" s="1539">
        <v>2024</v>
      </c>
      <c r="AG166" s="779"/>
      <c r="AH166" s="340"/>
      <c r="AI166" s="53"/>
    </row>
    <row r="167" spans="2:35">
      <c r="B167" s="1281"/>
      <c r="C167" s="469"/>
      <c r="D167" s="469"/>
      <c r="F167" s="45">
        <v>2025</v>
      </c>
      <c r="G167" s="1078">
        <v>20919696</v>
      </c>
      <c r="H167" s="1078">
        <v>0</v>
      </c>
      <c r="I167" s="1078">
        <v>-1006535</v>
      </c>
      <c r="J167" s="1078">
        <v>-117918</v>
      </c>
      <c r="K167" s="1078">
        <v>312073</v>
      </c>
      <c r="L167" s="1284">
        <f>+G167+H167+I167+J167+K167</f>
        <v>20107316</v>
      </c>
      <c r="M167" s="1078">
        <v>1548000</v>
      </c>
      <c r="N167" s="1078">
        <v>-799230</v>
      </c>
      <c r="O167" s="1641">
        <f>+L167+M167+N167</f>
        <v>20856086</v>
      </c>
      <c r="P167" s="1078">
        <f>+P166-J167-K167</f>
        <v>1772853</v>
      </c>
      <c r="Q167" s="1649">
        <f t="shared" ref="Q167" si="52">+O167+P167</f>
        <v>22628939</v>
      </c>
      <c r="S167" s="45">
        <v>2025</v>
      </c>
      <c r="T167" s="1643">
        <v>1006535</v>
      </c>
      <c r="U167" s="740">
        <v>1652.2</v>
      </c>
      <c r="V167" s="740">
        <f t="shared" ref="V167" si="53">+U167/T167*1000000</f>
        <v>1641.4729741141641</v>
      </c>
      <c r="W167" s="1285">
        <v>117918</v>
      </c>
      <c r="X167" s="1324">
        <f>+W167*Y167/1000000</f>
        <v>193.50343799999999</v>
      </c>
      <c r="Y167" s="405">
        <v>1641</v>
      </c>
      <c r="Z167" s="977">
        <v>0</v>
      </c>
      <c r="AA167" s="1146">
        <v>0</v>
      </c>
      <c r="AB167" s="765">
        <v>0</v>
      </c>
      <c r="AD167" s="318">
        <v>1158.47</v>
      </c>
      <c r="AE167" s="1539" t="s">
        <v>2176</v>
      </c>
      <c r="AG167" s="779"/>
      <c r="AH167" s="340"/>
      <c r="AI167" s="53"/>
    </row>
    <row r="168" spans="2:35">
      <c r="B168" s="1281"/>
      <c r="C168" s="469"/>
      <c r="D168" s="469"/>
      <c r="E168" s="62"/>
      <c r="F168" s="1129" t="s">
        <v>2387</v>
      </c>
      <c r="G168" s="1078">
        <v>20107316</v>
      </c>
      <c r="H168" s="1078">
        <v>0</v>
      </c>
      <c r="I168" s="1078">
        <v>-374883</v>
      </c>
      <c r="J168" s="1078">
        <v>-52239</v>
      </c>
      <c r="K168" s="1078">
        <v>195068</v>
      </c>
      <c r="L168" s="1284">
        <f>+G168+H168+I168+J168+K168</f>
        <v>19875262</v>
      </c>
      <c r="M168" s="1078">
        <v>1548000</v>
      </c>
      <c r="N168" s="1078">
        <v>-799230</v>
      </c>
      <c r="O168" s="1641">
        <f>+L168+M168+N168</f>
        <v>20624032</v>
      </c>
      <c r="P168" s="1078">
        <f>+P167-J168-K168</f>
        <v>1630024</v>
      </c>
      <c r="Q168" s="1649">
        <f t="shared" ref="Q168" si="54">+O168+P168</f>
        <v>22254056</v>
      </c>
      <c r="S168" s="45">
        <v>2026</v>
      </c>
      <c r="T168" s="1643">
        <v>374883</v>
      </c>
      <c r="U168" s="740">
        <v>631.29999999999995</v>
      </c>
      <c r="V168" s="740">
        <f t="shared" ref="V168" si="55">+U168/T168*1000000</f>
        <v>1683.992072193191</v>
      </c>
      <c r="W168" s="1285">
        <v>52239</v>
      </c>
      <c r="X168" s="1324">
        <v>99.8</v>
      </c>
      <c r="Y168" s="405">
        <f>+(X168*1000000)/W168</f>
        <v>1910.4500468998258</v>
      </c>
      <c r="Z168" s="977">
        <v>1</v>
      </c>
      <c r="AA168" s="1146">
        <v>0</v>
      </c>
      <c r="AB168" s="765">
        <v>0</v>
      </c>
      <c r="AD168" s="318">
        <v>1158.47</v>
      </c>
      <c r="AE168" s="1539" t="s">
        <v>2386</v>
      </c>
      <c r="AG168" s="779"/>
      <c r="AH168" s="340"/>
      <c r="AI168" s="53"/>
    </row>
    <row r="169" spans="2:35">
      <c r="B169" s="1281"/>
      <c r="C169" s="469"/>
      <c r="D169" s="469"/>
      <c r="E169" s="62"/>
      <c r="F169" s="27"/>
      <c r="G169" s="779"/>
      <c r="H169" s="1079"/>
      <c r="I169" s="1079"/>
      <c r="J169" s="1079"/>
      <c r="K169" s="1079"/>
      <c r="L169" s="1281"/>
      <c r="M169" s="779"/>
      <c r="N169" s="779"/>
      <c r="O169" s="2046"/>
      <c r="P169" s="779"/>
      <c r="Q169" s="2046"/>
      <c r="S169" s="27"/>
      <c r="T169" s="1079"/>
      <c r="U169" s="64"/>
      <c r="V169" s="64"/>
      <c r="W169" s="1079"/>
      <c r="X169" s="1497"/>
      <c r="Y169" s="53"/>
      <c r="Z169" s="779"/>
      <c r="AA169" s="340"/>
      <c r="AB169" s="53"/>
      <c r="AD169" s="53"/>
      <c r="AE169" s="2047"/>
      <c r="AG169" s="779"/>
      <c r="AH169" s="340"/>
      <c r="AI169" s="53"/>
    </row>
    <row r="170" spans="2:35">
      <c r="C170" s="53"/>
      <c r="D170" s="53"/>
      <c r="F170" s="1033">
        <v>2026</v>
      </c>
      <c r="G170" s="779"/>
      <c r="H170" s="1848" t="s">
        <v>2368</v>
      </c>
      <c r="I170" s="1849">
        <v>-226694</v>
      </c>
      <c r="J170" s="1849">
        <v>0</v>
      </c>
      <c r="K170" s="1850">
        <f>+J170/-I170*1000000</f>
        <v>0</v>
      </c>
      <c r="L170" s="1281"/>
      <c r="M170" s="779"/>
      <c r="N170" s="779"/>
      <c r="O170" s="1851">
        <f>+O167+I170</f>
        <v>20629392</v>
      </c>
      <c r="P170" s="779"/>
      <c r="Q170" s="1851">
        <f>+Q167+I170</f>
        <v>22402245</v>
      </c>
      <c r="S170" s="1033">
        <v>2026</v>
      </c>
      <c r="T170" s="1850">
        <v>226694</v>
      </c>
      <c r="U170" s="405">
        <v>384</v>
      </c>
      <c r="V170" s="405">
        <f t="shared" ref="V170" si="56">+U170/T170*1000000</f>
        <v>1693.9133810334638</v>
      </c>
      <c r="W170" s="800" t="s">
        <v>2372</v>
      </c>
      <c r="X170" s="875" t="s">
        <v>2370</v>
      </c>
      <c r="Y170" s="53"/>
      <c r="Z170" s="779"/>
      <c r="AA170" s="340"/>
      <c r="AB170" s="53"/>
      <c r="AD170" s="53"/>
      <c r="AG170" s="779"/>
      <c r="AH170" s="340"/>
      <c r="AI170" s="53"/>
    </row>
    <row r="171" spans="2:35">
      <c r="B171" s="779"/>
      <c r="C171" s="53"/>
      <c r="D171" s="53"/>
      <c r="F171" s="30"/>
      <c r="G171" s="779"/>
      <c r="H171" s="779"/>
      <c r="I171" s="779"/>
      <c r="J171" s="779"/>
      <c r="K171" s="779"/>
      <c r="L171" s="1281"/>
      <c r="M171" s="779"/>
      <c r="N171" s="779"/>
      <c r="O171" s="1281"/>
      <c r="P171" s="779"/>
      <c r="Q171" s="1281"/>
      <c r="S171" s="1281"/>
      <c r="T171" s="779"/>
      <c r="U171" s="53"/>
      <c r="V171" s="53"/>
      <c r="W171" s="779"/>
      <c r="X171" s="340"/>
      <c r="Y171" s="53"/>
      <c r="Z171" s="779"/>
      <c r="AA171" s="340"/>
      <c r="AB171" s="53"/>
      <c r="AD171" s="53"/>
      <c r="AG171" s="779"/>
      <c r="AH171" s="340"/>
      <c r="AI171" s="53"/>
    </row>
    <row r="172" spans="2:35">
      <c r="F172" s="30"/>
      <c r="G172" s="779"/>
      <c r="H172" s="779"/>
      <c r="I172" s="779"/>
      <c r="J172" s="779"/>
      <c r="K172" s="779"/>
      <c r="L172" s="1281"/>
      <c r="M172" s="779"/>
      <c r="N172" s="779"/>
      <c r="O172" s="1281"/>
      <c r="P172" s="779"/>
      <c r="Q172" s="1281"/>
      <c r="S172" s="1281"/>
      <c r="T172" s="779"/>
      <c r="U172" s="340"/>
      <c r="V172" s="53"/>
      <c r="W172" s="779"/>
      <c r="X172" s="340"/>
      <c r="Y172" s="53"/>
      <c r="Z172" s="779"/>
      <c r="AA172" s="340"/>
      <c r="AB172" s="53"/>
      <c r="AG172" s="779">
        <f>SUM(AG162:AG165)</f>
        <v>-1827821</v>
      </c>
      <c r="AH172" s="779">
        <f>+AI172/AG172*1000000</f>
        <v>464.98129482789329</v>
      </c>
      <c r="AI172" s="53">
        <f>SUM(AI162:AI165)</f>
        <v>-849.90257529361475</v>
      </c>
    </row>
    <row r="173" spans="2:35">
      <c r="F173" t="s">
        <v>1500</v>
      </c>
      <c r="N173" s="703"/>
      <c r="O173" s="779"/>
      <c r="P173" s="779"/>
      <c r="T173" s="779" t="e">
        <f>+T163+#REF!</f>
        <v>#REF!</v>
      </c>
      <c r="U173" s="779" t="e">
        <f>+#REF!+U163</f>
        <v>#REF!</v>
      </c>
      <c r="V173" s="779" t="e">
        <f>+U173/T173*1000000</f>
        <v>#REF!</v>
      </c>
    </row>
    <row r="174" spans="2:35">
      <c r="O174" s="13"/>
      <c r="P174" s="779"/>
    </row>
    <row r="175" spans="2:35">
      <c r="G175" s="11" t="s">
        <v>911</v>
      </c>
      <c r="P175" s="779"/>
      <c r="T175" s="779"/>
    </row>
    <row r="176" spans="2:35">
      <c r="J176" s="2071" t="s">
        <v>191</v>
      </c>
      <c r="K176" s="2072"/>
      <c r="T176" s="779"/>
      <c r="U176" s="53"/>
    </row>
    <row r="177" spans="7:20">
      <c r="H177" s="39" t="s">
        <v>1486</v>
      </c>
      <c r="I177" s="39" t="s">
        <v>1485</v>
      </c>
      <c r="J177" s="39" t="s">
        <v>42</v>
      </c>
      <c r="K177" s="39" t="s">
        <v>25</v>
      </c>
      <c r="P177" s="779">
        <f>+O165-O171</f>
        <v>23003248</v>
      </c>
      <c r="T177" s="13"/>
    </row>
    <row r="178" spans="7:20">
      <c r="G178" s="46">
        <v>2015</v>
      </c>
      <c r="H178" s="1078">
        <v>9200000</v>
      </c>
      <c r="I178" s="318">
        <v>25</v>
      </c>
      <c r="J178" s="318">
        <v>179</v>
      </c>
      <c r="K178" s="318">
        <v>222.9</v>
      </c>
      <c r="L178" t="s">
        <v>1487</v>
      </c>
      <c r="P178" s="779">
        <f>+O159-O166</f>
        <v>6082607</v>
      </c>
      <c r="Q178" s="13">
        <f>+P178/O159</f>
        <v>0.21918456990834193</v>
      </c>
    </row>
    <row r="180" spans="7:20">
      <c r="G180" t="s">
        <v>1490</v>
      </c>
    </row>
    <row r="181" spans="7:20">
      <c r="G181" t="s">
        <v>1489</v>
      </c>
    </row>
    <row r="182" spans="7:20">
      <c r="G182" t="s">
        <v>1501</v>
      </c>
    </row>
    <row r="184" spans="7:20">
      <c r="H184" s="501"/>
      <c r="L184" s="502" t="s">
        <v>962</v>
      </c>
    </row>
    <row r="185" spans="7:20">
      <c r="G185" s="11" t="s">
        <v>1508</v>
      </c>
      <c r="H185" s="501"/>
      <c r="L185" s="503" t="s">
        <v>1483</v>
      </c>
    </row>
    <row r="186" spans="7:20">
      <c r="H186" s="40" t="s">
        <v>19</v>
      </c>
      <c r="I186" s="40" t="s">
        <v>1311</v>
      </c>
      <c r="J186" s="40" t="s">
        <v>19</v>
      </c>
      <c r="L186" s="503" t="s">
        <v>1484</v>
      </c>
    </row>
    <row r="187" spans="7:20">
      <c r="H187" s="51" t="s">
        <v>959</v>
      </c>
      <c r="I187" s="51" t="s">
        <v>45</v>
      </c>
      <c r="J187" s="51" t="s">
        <v>191</v>
      </c>
      <c r="L187" s="503" t="s">
        <v>1110</v>
      </c>
      <c r="N187" s="40" t="s">
        <v>1302</v>
      </c>
    </row>
    <row r="188" spans="7:20">
      <c r="H188" s="41" t="s">
        <v>1459</v>
      </c>
      <c r="I188" s="41" t="s">
        <v>1107</v>
      </c>
      <c r="J188" s="41" t="s">
        <v>1507</v>
      </c>
      <c r="L188" s="1293" t="s">
        <v>1510</v>
      </c>
      <c r="N188" s="41" t="s">
        <v>1509</v>
      </c>
    </row>
    <row r="189" spans="7:20">
      <c r="G189" s="45">
        <v>2014</v>
      </c>
      <c r="H189" s="41"/>
      <c r="I189" s="41"/>
      <c r="J189" s="41"/>
      <c r="L189" s="1300">
        <f>+O156/1000000</f>
        <v>21.176168000000001</v>
      </c>
      <c r="N189" s="318">
        <v>394.83</v>
      </c>
    </row>
    <row r="190" spans="7:20">
      <c r="G190" s="45">
        <v>2015</v>
      </c>
      <c r="H190" s="1297">
        <f>+H157/1000000</f>
        <v>1.1692940000000001</v>
      </c>
      <c r="I190" s="318">
        <v>502</v>
      </c>
      <c r="J190" s="318">
        <f>+H190*I190</f>
        <v>586.98558800000001</v>
      </c>
      <c r="L190" s="1300">
        <f>+O157/1000000</f>
        <v>22.213858999999999</v>
      </c>
      <c r="N190" s="318">
        <v>403.01</v>
      </c>
    </row>
    <row r="191" spans="7:20">
      <c r="G191" s="45">
        <v>2016</v>
      </c>
      <c r="H191" s="1297">
        <f>+H158/1000000</f>
        <v>1</v>
      </c>
      <c r="I191" s="318">
        <v>524</v>
      </c>
      <c r="J191" s="318">
        <f t="shared" ref="J191:J192" si="57">+H191*I191</f>
        <v>524</v>
      </c>
      <c r="L191" s="1300">
        <f>+O158/1000000</f>
        <v>23.093565999999999</v>
      </c>
      <c r="N191" s="318">
        <v>367.4</v>
      </c>
    </row>
    <row r="192" spans="7:20">
      <c r="G192" s="45">
        <v>2017</v>
      </c>
      <c r="H192" s="1297">
        <f>+H159/1000000</f>
        <v>5.0849609999999998</v>
      </c>
      <c r="I192" s="318">
        <v>432</v>
      </c>
      <c r="J192" s="318">
        <f t="shared" si="57"/>
        <v>2196.703152</v>
      </c>
      <c r="L192" s="1300">
        <f>+O159/1000000</f>
        <v>27.751073000000002</v>
      </c>
      <c r="N192" s="318">
        <v>449.55</v>
      </c>
      <c r="O192" s="1299"/>
    </row>
    <row r="193" spans="7:19">
      <c r="G193" s="39" t="s">
        <v>19</v>
      </c>
      <c r="H193" s="1298">
        <f>SUM(H190:H192)</f>
        <v>7.2542549999999997</v>
      </c>
      <c r="I193" s="336">
        <f>+J193/H193</f>
        <v>455.96532517811966</v>
      </c>
      <c r="J193" s="336">
        <f>SUM(J190:J192)</f>
        <v>3307.6887400000001</v>
      </c>
    </row>
    <row r="194" spans="7:19" ht="7" customHeight="1"/>
    <row r="195" spans="7:19">
      <c r="H195" s="490">
        <f>+H193/L189</f>
        <v>0.34256693656756027</v>
      </c>
      <c r="I195" s="50" t="s">
        <v>1511</v>
      </c>
      <c r="J195" s="63"/>
      <c r="K195" s="63"/>
      <c r="L195" s="28"/>
    </row>
    <row r="196" spans="7:19">
      <c r="H196" s="13"/>
    </row>
    <row r="197" spans="7:19">
      <c r="H197" s="13"/>
    </row>
    <row r="198" spans="7:19">
      <c r="G198" s="11" t="s">
        <v>1523</v>
      </c>
      <c r="L198" s="11" t="s">
        <v>1521</v>
      </c>
    </row>
    <row r="199" spans="7:19">
      <c r="H199" s="40" t="s">
        <v>956</v>
      </c>
      <c r="M199" s="42"/>
      <c r="N199" s="40" t="s">
        <v>1515</v>
      </c>
      <c r="O199" s="42"/>
    </row>
    <row r="200" spans="7:19">
      <c r="H200" s="51" t="s">
        <v>1512</v>
      </c>
      <c r="I200" s="2071" t="s">
        <v>1513</v>
      </c>
      <c r="J200" s="2072"/>
      <c r="L200" s="305" t="s">
        <v>44</v>
      </c>
      <c r="M200" s="305" t="s">
        <v>1516</v>
      </c>
      <c r="N200" s="41" t="s">
        <v>816</v>
      </c>
      <c r="O200" s="39" t="s">
        <v>1514</v>
      </c>
      <c r="Q200">
        <f>+M201*N201</f>
        <v>17.324999999999999</v>
      </c>
    </row>
    <row r="201" spans="7:19">
      <c r="H201" s="41" t="s">
        <v>1507</v>
      </c>
      <c r="I201" s="39" t="s">
        <v>984</v>
      </c>
      <c r="J201" s="39" t="s">
        <v>39</v>
      </c>
      <c r="L201" s="479" t="s">
        <v>1519</v>
      </c>
      <c r="M201" s="318">
        <v>350</v>
      </c>
      <c r="N201" s="1302">
        <v>4.9500000000000002E-2</v>
      </c>
      <c r="O201" s="45">
        <v>2025</v>
      </c>
      <c r="Q201">
        <f>+M202*N202</f>
        <v>18</v>
      </c>
    </row>
    <row r="202" spans="7:19">
      <c r="G202" s="45">
        <v>2014</v>
      </c>
      <c r="H202" s="318">
        <v>1966.3</v>
      </c>
      <c r="I202" s="334"/>
      <c r="J202" s="18"/>
      <c r="L202" s="479" t="s">
        <v>1518</v>
      </c>
      <c r="M202" s="318">
        <v>400</v>
      </c>
      <c r="N202" s="1302">
        <v>4.4999999999999998E-2</v>
      </c>
      <c r="O202" s="45">
        <v>2023</v>
      </c>
      <c r="Q202">
        <f>+M203*N203</f>
        <v>21.15</v>
      </c>
    </row>
    <row r="203" spans="7:19">
      <c r="G203" s="45">
        <v>2015</v>
      </c>
      <c r="H203" s="318">
        <v>2075.6</v>
      </c>
      <c r="I203" s="73"/>
      <c r="J203" s="60"/>
      <c r="L203" s="479" t="s">
        <v>1520</v>
      </c>
      <c r="M203" s="318">
        <v>450</v>
      </c>
      <c r="N203" s="1302">
        <v>4.7E-2</v>
      </c>
      <c r="O203" s="45">
        <v>2026</v>
      </c>
      <c r="Q203">
        <f>+M204*N204</f>
        <v>27.625000000000004</v>
      </c>
    </row>
    <row r="204" spans="7:19">
      <c r="G204" s="45">
        <v>2016</v>
      </c>
      <c r="H204" s="318">
        <v>3438.2</v>
      </c>
      <c r="I204" s="73"/>
      <c r="J204" s="60"/>
      <c r="L204" s="479" t="s">
        <v>1517</v>
      </c>
      <c r="M204" s="318">
        <v>650</v>
      </c>
      <c r="N204" s="1305">
        <v>4.2500000000000003E-2</v>
      </c>
      <c r="O204" s="159">
        <v>2027</v>
      </c>
      <c r="Q204">
        <f>SUM(Q200:Q203)</f>
        <v>84.100000000000009</v>
      </c>
      <c r="R204" s="359">
        <f>+Q204/M205</f>
        <v>4.5459459459459464E-2</v>
      </c>
      <c r="S204" s="359"/>
    </row>
    <row r="205" spans="7:19">
      <c r="G205" s="45">
        <v>2017</v>
      </c>
      <c r="H205" s="318">
        <v>4057.2</v>
      </c>
      <c r="I205" s="336">
        <f>+H205-H202</f>
        <v>2090.8999999999996</v>
      </c>
      <c r="J205" s="1301">
        <f>+I205/H202</f>
        <v>1.0633677465290137</v>
      </c>
      <c r="L205" s="1303" t="s">
        <v>19</v>
      </c>
      <c r="M205" s="1304">
        <f>SUM(M201:M204)</f>
        <v>1850</v>
      </c>
      <c r="N205" s="1306">
        <v>4.5499999999999999E-2</v>
      </c>
      <c r="O205" s="129" t="s">
        <v>1522</v>
      </c>
    </row>
    <row r="206" spans="7:19">
      <c r="G206" s="42"/>
      <c r="H206" s="1132"/>
    </row>
    <row r="208" spans="7:19">
      <c r="G208" s="11" t="s">
        <v>1525</v>
      </c>
    </row>
    <row r="209" spans="7:25">
      <c r="J209" s="40" t="s">
        <v>191</v>
      </c>
    </row>
    <row r="210" spans="7:25">
      <c r="J210" s="41" t="s">
        <v>1507</v>
      </c>
    </row>
    <row r="211" spans="7:25">
      <c r="G211" s="45">
        <v>2017</v>
      </c>
      <c r="H211" s="50" t="s">
        <v>1524</v>
      </c>
      <c r="I211" s="28"/>
      <c r="J211" s="318">
        <v>1600</v>
      </c>
      <c r="K211" s="50" t="s">
        <v>1527</v>
      </c>
      <c r="L211" s="63"/>
      <c r="M211" s="28"/>
    </row>
    <row r="212" spans="7:25">
      <c r="G212" s="45">
        <v>2017</v>
      </c>
      <c r="H212" s="50" t="s">
        <v>527</v>
      </c>
      <c r="I212" s="28"/>
      <c r="J212" s="318">
        <v>950</v>
      </c>
      <c r="K212" s="50" t="s">
        <v>1526</v>
      </c>
      <c r="L212" s="63"/>
      <c r="M212" s="28"/>
    </row>
    <row r="213" spans="7:25">
      <c r="G213" s="305" t="s">
        <v>19</v>
      </c>
      <c r="H213" s="63"/>
      <c r="I213" s="28"/>
      <c r="J213" s="336">
        <f>SUM(J211:J212)</f>
        <v>2550</v>
      </c>
    </row>
    <row r="217" spans="7:25">
      <c r="G217" s="282" t="s">
        <v>2303</v>
      </c>
    </row>
    <row r="218" spans="7:25">
      <c r="G218" s="282" t="s">
        <v>2304</v>
      </c>
    </row>
    <row r="220" spans="7:25">
      <c r="V220" s="1123"/>
      <c r="W220" s="1123"/>
      <c r="X220" s="1123"/>
      <c r="Y220" s="1123"/>
    </row>
    <row r="221" spans="7:25">
      <c r="V221" s="1145"/>
      <c r="W221" s="501"/>
      <c r="X221" s="501"/>
      <c r="Y221" s="501"/>
    </row>
    <row r="222" spans="7:25">
      <c r="V222" s="30"/>
      <c r="W222" s="340"/>
      <c r="X222" s="974"/>
      <c r="Y222" s="53"/>
    </row>
    <row r="223" spans="7:25">
      <c r="V223" s="30"/>
      <c r="W223" s="340"/>
      <c r="X223" s="974"/>
      <c r="Y223" s="53"/>
    </row>
    <row r="224" spans="7:25">
      <c r="V224" s="30"/>
      <c r="W224" s="340"/>
      <c r="X224" s="974"/>
      <c r="Y224" s="53"/>
    </row>
    <row r="225" spans="22:25">
      <c r="V225" s="30"/>
      <c r="W225" s="340"/>
      <c r="X225" s="974"/>
      <c r="Y225" s="53"/>
    </row>
    <row r="226" spans="22:25">
      <c r="V226" s="30"/>
      <c r="W226" s="340"/>
      <c r="X226" s="974"/>
      <c r="Y226" s="53"/>
    </row>
    <row r="227" spans="22:25">
      <c r="V227" s="30"/>
      <c r="W227" s="340"/>
      <c r="X227" s="974"/>
      <c r="Y227" s="53"/>
    </row>
    <row r="228" spans="22:25">
      <c r="V228" s="30"/>
      <c r="W228" s="340"/>
      <c r="X228" s="974"/>
      <c r="Y228" s="53"/>
    </row>
    <row r="229" spans="22:25">
      <c r="V229" s="30"/>
      <c r="W229" s="340"/>
      <c r="X229" s="974"/>
      <c r="Y229" s="53"/>
    </row>
    <row r="230" spans="22:25">
      <c r="V230" s="30"/>
      <c r="W230" s="340"/>
      <c r="X230" s="974"/>
      <c r="Y230" s="53"/>
    </row>
    <row r="231" spans="22:25">
      <c r="V231" s="30"/>
      <c r="W231" s="340"/>
      <c r="X231" s="974"/>
      <c r="Y231" s="53"/>
    </row>
    <row r="232" spans="22:25">
      <c r="V232" s="30"/>
      <c r="W232" s="340"/>
      <c r="X232" s="974"/>
      <c r="Y232" s="53"/>
    </row>
  </sheetData>
  <mergeCells count="23">
    <mergeCell ref="AP6:AR6"/>
    <mergeCell ref="AL6:AN6"/>
    <mergeCell ref="AH6:AJ6"/>
    <mergeCell ref="AA148:AB148"/>
    <mergeCell ref="Z147:AB147"/>
    <mergeCell ref="AB46:AD46"/>
    <mergeCell ref="Z133:AA133"/>
    <mergeCell ref="W147:Y147"/>
    <mergeCell ref="X148:Y148"/>
    <mergeCell ref="I4:J4"/>
    <mergeCell ref="I65:J65"/>
    <mergeCell ref="I129:J129"/>
    <mergeCell ref="M112:N112"/>
    <mergeCell ref="M113:N113"/>
    <mergeCell ref="J100:K100"/>
    <mergeCell ref="J89:K89"/>
    <mergeCell ref="G76:H76"/>
    <mergeCell ref="J176:K176"/>
    <mergeCell ref="I200:J200"/>
    <mergeCell ref="I44:J44"/>
    <mergeCell ref="U148:V148"/>
    <mergeCell ref="T147:V147"/>
    <mergeCell ref="K65:L65"/>
  </mergeCells>
  <phoneticPr fontId="16" type="noConversion"/>
  <printOptions gridLines="1"/>
  <pageMargins left="0.75000000000000011" right="0.75000000000000011" top="1" bottom="1" header="0.5" footer="0.5"/>
  <pageSetup orientation="landscape" horizontalDpi="4294967292" verticalDpi="4294967292"/>
  <ignoredErrors>
    <ignoredError sqref="R38 R137 I193 J61 AM9:AM17 AQ9:AQ17 Z138 J117 J76 J82" formula="1"/>
    <ignoredError sqref="AA47 G102:G107 G91:G92"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FC4B8-CC24-0A4A-B7A3-F4DBEC58A4A6}">
  <sheetPr>
    <pageSetUpPr fitToPage="1"/>
  </sheetPr>
  <dimension ref="B2:CD189"/>
  <sheetViews>
    <sheetView zoomScaleNormal="100" workbookViewId="0">
      <selection activeCell="G180" sqref="G180"/>
    </sheetView>
  </sheetViews>
  <sheetFormatPr baseColWidth="10" defaultRowHeight="16"/>
  <cols>
    <col min="1" max="1" width="4.5" customWidth="1"/>
    <col min="2" max="2" width="19.1640625" customWidth="1"/>
    <col min="3" max="4" width="7.6640625" customWidth="1"/>
    <col min="5" max="5" width="6.83203125" customWidth="1"/>
    <col min="6" max="6" width="1.33203125" customWidth="1"/>
    <col min="7" max="8" width="7.6640625" customWidth="1"/>
    <col min="9" max="9" width="6.6640625" customWidth="1"/>
    <col min="10" max="10" width="1.33203125" customWidth="1"/>
    <col min="11" max="11" width="7.6640625" bestFit="1" customWidth="1"/>
    <col min="12" max="12" width="7.6640625" customWidth="1"/>
    <col min="13" max="13" width="6.83203125" customWidth="1"/>
    <col min="14" max="14" width="1.33203125" customWidth="1"/>
    <col min="15" max="15" width="7.5" customWidth="1"/>
    <col min="16" max="16" width="7.1640625" customWidth="1"/>
    <col min="17" max="17" width="6.83203125" customWidth="1"/>
    <col min="18" max="18" width="1.33203125" customWidth="1"/>
    <col min="19" max="19" width="6.6640625" bestFit="1" customWidth="1"/>
    <col min="20" max="20" width="7.1640625" bestFit="1" customWidth="1"/>
    <col min="21" max="21" width="6.6640625" bestFit="1" customWidth="1"/>
    <col min="22" max="22" width="1.33203125" customWidth="1"/>
    <col min="23" max="23" width="6.6640625" bestFit="1" customWidth="1"/>
    <col min="24" max="24" width="7.1640625" bestFit="1" customWidth="1"/>
    <col min="25" max="25" width="6.5" bestFit="1" customWidth="1"/>
    <col min="26" max="26" width="1.33203125" customWidth="1"/>
    <col min="27" max="27" width="7.6640625" customWidth="1"/>
    <col min="28" max="28" width="7.1640625" bestFit="1" customWidth="1"/>
    <col min="29" max="29" width="6.6640625" bestFit="1" customWidth="1"/>
    <col min="30" max="30" width="1.33203125" customWidth="1"/>
    <col min="31" max="31" width="7.5" customWidth="1"/>
    <col min="32" max="32" width="7.1640625" bestFit="1" customWidth="1"/>
    <col min="33" max="33" width="6.5" bestFit="1" customWidth="1"/>
    <col min="34" max="34" width="1.33203125" customWidth="1"/>
    <col min="35" max="37" width="8.33203125" customWidth="1"/>
    <col min="38" max="38" width="1.33203125" customWidth="1"/>
    <col min="39" max="39" width="6.6640625" bestFit="1" customWidth="1"/>
    <col min="40" max="40" width="7.1640625" bestFit="1" customWidth="1"/>
    <col min="41" max="41" width="7" customWidth="1"/>
    <col min="42" max="42" width="1.33203125" customWidth="1"/>
    <col min="43" max="43" width="6.6640625" bestFit="1" customWidth="1"/>
    <col min="44" max="44" width="7.1640625" bestFit="1" customWidth="1"/>
    <col min="45" max="45" width="6.6640625" bestFit="1" customWidth="1"/>
    <col min="46" max="46" width="1.1640625" customWidth="1"/>
    <col min="47" max="47" width="6.6640625" bestFit="1" customWidth="1"/>
    <col min="48" max="48" width="7.1640625" bestFit="1" customWidth="1"/>
    <col min="49" max="49" width="6.6640625" bestFit="1" customWidth="1"/>
    <col min="50" max="50" width="1.33203125" customWidth="1"/>
    <col min="51" max="51" width="6.6640625" bestFit="1" customWidth="1"/>
    <col min="52" max="52" width="7.1640625" bestFit="1" customWidth="1"/>
    <col min="53" max="53" width="6.5" bestFit="1" customWidth="1"/>
    <col min="54" max="54" width="1.33203125" customWidth="1"/>
    <col min="55" max="55" width="6.6640625" bestFit="1" customWidth="1"/>
    <col min="56" max="56" width="7.1640625" bestFit="1" customWidth="1"/>
    <col min="57" max="57" width="6.5" bestFit="1" customWidth="1"/>
    <col min="63" max="63" width="16.33203125" customWidth="1"/>
    <col min="64" max="64" width="7.6640625" customWidth="1"/>
    <col min="65" max="68" width="7.83203125" customWidth="1"/>
    <col min="69" max="70" width="8.1640625" customWidth="1"/>
    <col min="71" max="71" width="7.83203125" customWidth="1"/>
    <col min="72" max="73" width="7.6640625" customWidth="1"/>
    <col min="74" max="74" width="7.83203125" customWidth="1"/>
  </cols>
  <sheetData>
    <row r="2" spans="2:82">
      <c r="G2" t="s">
        <v>2409</v>
      </c>
      <c r="K2" t="s">
        <v>1876</v>
      </c>
      <c r="S2" t="s">
        <v>1877</v>
      </c>
      <c r="W2" t="s">
        <v>1880</v>
      </c>
      <c r="AA2" t="s">
        <v>1878</v>
      </c>
      <c r="AE2" t="s">
        <v>1707</v>
      </c>
    </row>
    <row r="3" spans="2:82">
      <c r="G3" s="282" t="s">
        <v>2411</v>
      </c>
    </row>
    <row r="4" spans="2:82">
      <c r="BM4" s="53">
        <f t="shared" ref="BM4:BP4" si="0">+BM8-BM9</f>
        <v>-662</v>
      </c>
      <c r="BN4" s="53">
        <f t="shared" si="0"/>
        <v>346</v>
      </c>
      <c r="BO4" s="53">
        <f t="shared" si="0"/>
        <v>240</v>
      </c>
      <c r="BP4" s="53">
        <f t="shared" si="0"/>
        <v>1006</v>
      </c>
      <c r="BQ4" s="53">
        <f>+BQ8-BQ9</f>
        <v>1480</v>
      </c>
    </row>
    <row r="5" spans="2:82">
      <c r="B5" t="s">
        <v>2115</v>
      </c>
      <c r="E5">
        <v>22.5</v>
      </c>
      <c r="I5">
        <v>23.4</v>
      </c>
      <c r="M5">
        <v>24.3</v>
      </c>
      <c r="Q5">
        <v>22.4</v>
      </c>
      <c r="U5">
        <v>25.3</v>
      </c>
      <c r="Y5">
        <v>25.5</v>
      </c>
      <c r="AC5">
        <v>26.8</v>
      </c>
      <c r="AG5">
        <v>28</v>
      </c>
      <c r="AI5" t="s">
        <v>1714</v>
      </c>
      <c r="CB5">
        <v>22.3</v>
      </c>
    </row>
    <row r="6" spans="2:82" ht="17" thickBot="1">
      <c r="BK6" s="11" t="s">
        <v>2110</v>
      </c>
      <c r="BS6" s="282"/>
      <c r="BT6" s="2160" t="s">
        <v>2403</v>
      </c>
      <c r="BU6" s="2160"/>
      <c r="BW6" s="40">
        <v>2025</v>
      </c>
    </row>
    <row r="7" spans="2:82">
      <c r="B7" s="11" t="s">
        <v>1677</v>
      </c>
      <c r="C7" s="11"/>
      <c r="D7" s="11"/>
      <c r="E7" s="11"/>
      <c r="F7" s="11"/>
      <c r="G7" s="11"/>
      <c r="H7" s="11"/>
      <c r="I7" s="11"/>
      <c r="J7" s="11"/>
      <c r="K7" s="11"/>
      <c r="L7" s="11"/>
      <c r="M7" s="11"/>
      <c r="N7" s="11"/>
      <c r="BK7" s="839">
        <v>46153</v>
      </c>
      <c r="BM7" s="39">
        <v>2020</v>
      </c>
      <c r="BN7" s="39">
        <v>2021</v>
      </c>
      <c r="BO7" s="39">
        <v>2022</v>
      </c>
      <c r="BP7" s="39">
        <v>2023</v>
      </c>
      <c r="BQ7" s="305">
        <v>2024</v>
      </c>
      <c r="BR7" s="305">
        <v>2025</v>
      </c>
      <c r="BS7" s="39" t="s">
        <v>2388</v>
      </c>
      <c r="BT7" s="2111" t="s">
        <v>10</v>
      </c>
      <c r="BU7" s="2160"/>
      <c r="BW7" s="41" t="s">
        <v>2219</v>
      </c>
      <c r="BX7" s="1917" t="s">
        <v>1061</v>
      </c>
      <c r="BY7" s="1911" t="s">
        <v>2068</v>
      </c>
    </row>
    <row r="8" spans="2:82">
      <c r="C8" s="2143" t="s">
        <v>2413</v>
      </c>
      <c r="D8" s="2159"/>
      <c r="E8" s="2144"/>
      <c r="G8" s="2143" t="s">
        <v>2415</v>
      </c>
      <c r="H8" s="2159"/>
      <c r="I8" s="2144"/>
      <c r="K8" s="2143" t="s">
        <v>1875</v>
      </c>
      <c r="L8" s="2159"/>
      <c r="M8" s="2144"/>
      <c r="O8" s="2143" t="s">
        <v>1598</v>
      </c>
      <c r="P8" s="2159"/>
      <c r="Q8" s="2144"/>
      <c r="S8" s="2143" t="s">
        <v>1337</v>
      </c>
      <c r="T8" s="2159"/>
      <c r="U8" s="2144"/>
      <c r="W8" s="2143" t="s">
        <v>1185</v>
      </c>
      <c r="X8" s="2159"/>
      <c r="Y8" s="2144"/>
      <c r="AA8" s="2143" t="s">
        <v>1338</v>
      </c>
      <c r="AB8" s="2159"/>
      <c r="AC8" s="2144"/>
      <c r="AE8" s="2143" t="s">
        <v>1673</v>
      </c>
      <c r="AF8" s="2159"/>
      <c r="AG8" s="2144"/>
      <c r="AI8" s="2143" t="s">
        <v>1696</v>
      </c>
      <c r="AJ8" s="2159"/>
      <c r="AK8" s="2144"/>
      <c r="AM8" s="2143" t="s">
        <v>1697</v>
      </c>
      <c r="AN8" s="2159"/>
      <c r="AO8" s="2144"/>
      <c r="AQ8" s="2143" t="s">
        <v>1698</v>
      </c>
      <c r="AR8" s="2159"/>
      <c r="AS8" s="2144"/>
      <c r="AU8" s="2143" t="s">
        <v>1699</v>
      </c>
      <c r="AV8" s="2159"/>
      <c r="AW8" s="2144"/>
      <c r="AY8" s="2143" t="s">
        <v>1700</v>
      </c>
      <c r="AZ8" s="2159"/>
      <c r="BA8" s="2144"/>
      <c r="BC8" s="2143" t="s">
        <v>1702</v>
      </c>
      <c r="BD8" s="2159"/>
      <c r="BE8" s="2144"/>
      <c r="BH8" t="s">
        <v>4</v>
      </c>
      <c r="BI8">
        <v>672.5</v>
      </c>
      <c r="BK8" s="50" t="s">
        <v>1136</v>
      </c>
      <c r="BL8" s="63"/>
      <c r="BM8" s="318">
        <v>4486</v>
      </c>
      <c r="BN8" s="318">
        <v>6246</v>
      </c>
      <c r="BO8" s="318">
        <v>7747</v>
      </c>
      <c r="BP8" s="318">
        <v>9617</v>
      </c>
      <c r="BQ8" s="318">
        <v>11583</v>
      </c>
      <c r="BR8" s="318">
        <v>11648.5</v>
      </c>
      <c r="BS8" s="318">
        <v>12820.7</v>
      </c>
      <c r="BT8" s="2111" t="s">
        <v>2404</v>
      </c>
      <c r="BU8" s="2160"/>
      <c r="BW8" s="1378">
        <v>10904</v>
      </c>
      <c r="BX8" s="1912"/>
      <c r="BY8" s="1912"/>
      <c r="CA8" s="53">
        <f>+BS8-BM8</f>
        <v>8334.7000000000007</v>
      </c>
      <c r="CB8" s="492">
        <f>+CA8/BM8</f>
        <v>1.857935800267499</v>
      </c>
    </row>
    <row r="9" spans="2:82">
      <c r="C9" s="502"/>
      <c r="D9" s="502"/>
      <c r="E9" s="502" t="s">
        <v>1604</v>
      </c>
      <c r="G9" s="502"/>
      <c r="H9" s="502"/>
      <c r="I9" s="502" t="s">
        <v>1604</v>
      </c>
      <c r="K9" s="502"/>
      <c r="L9" s="502"/>
      <c r="M9" s="502" t="s">
        <v>1604</v>
      </c>
      <c r="N9" s="499"/>
      <c r="O9" s="502"/>
      <c r="P9" s="502"/>
      <c r="Q9" s="502" t="s">
        <v>1604</v>
      </c>
      <c r="R9" s="499"/>
      <c r="S9" s="502"/>
      <c r="T9" s="502"/>
      <c r="U9" s="502" t="s">
        <v>1604</v>
      </c>
      <c r="V9" s="499"/>
      <c r="W9" s="502"/>
      <c r="X9" s="502"/>
      <c r="Y9" s="502" t="s">
        <v>1604</v>
      </c>
      <c r="Z9" s="499"/>
      <c r="AA9" s="502"/>
      <c r="AB9" s="502"/>
      <c r="AC9" s="502" t="s">
        <v>1604</v>
      </c>
      <c r="AE9" s="502"/>
      <c r="AF9" s="502"/>
      <c r="AG9" s="502" t="s">
        <v>1604</v>
      </c>
      <c r="AI9" s="502"/>
      <c r="AJ9" s="502"/>
      <c r="AK9" s="502" t="s">
        <v>1604</v>
      </c>
      <c r="AM9" s="502"/>
      <c r="AN9" s="502"/>
      <c r="AO9" s="502" t="s">
        <v>1604</v>
      </c>
      <c r="AQ9" s="502"/>
      <c r="AR9" s="502"/>
      <c r="AS9" s="502" t="s">
        <v>1604</v>
      </c>
      <c r="AU9" s="502"/>
      <c r="AV9" s="502"/>
      <c r="AW9" s="502" t="s">
        <v>1604</v>
      </c>
      <c r="AY9" s="502"/>
      <c r="AZ9" s="502"/>
      <c r="BA9" s="502" t="s">
        <v>1604</v>
      </c>
      <c r="BC9" s="502"/>
      <c r="BD9" s="502"/>
      <c r="BE9" s="502" t="s">
        <v>1604</v>
      </c>
      <c r="BK9" s="50" t="s">
        <v>1137</v>
      </c>
      <c r="BL9" s="63"/>
      <c r="BM9" s="318">
        <v>5148</v>
      </c>
      <c r="BN9" s="318">
        <v>5900</v>
      </c>
      <c r="BO9" s="318">
        <v>7507</v>
      </c>
      <c r="BP9" s="318">
        <v>8611</v>
      </c>
      <c r="BQ9" s="318">
        <v>10103</v>
      </c>
      <c r="BR9" s="318">
        <v>8508.9</v>
      </c>
      <c r="BS9" s="335">
        <v>8898.9</v>
      </c>
      <c r="BT9" s="42" t="s">
        <v>19</v>
      </c>
      <c r="BU9" s="42" t="s">
        <v>2405</v>
      </c>
      <c r="BW9" s="1307">
        <v>8412.9</v>
      </c>
      <c r="BX9" s="1912"/>
      <c r="BY9" s="1912"/>
    </row>
    <row r="10" spans="2:82">
      <c r="C10" s="503"/>
      <c r="D10" s="503" t="s">
        <v>1645</v>
      </c>
      <c r="E10" s="503" t="s">
        <v>1674</v>
      </c>
      <c r="G10" s="503"/>
      <c r="H10" s="503" t="s">
        <v>1645</v>
      </c>
      <c r="I10" s="503" t="s">
        <v>1674</v>
      </c>
      <c r="K10" s="503"/>
      <c r="L10" s="503" t="s">
        <v>1645</v>
      </c>
      <c r="M10" s="503" t="s">
        <v>1674</v>
      </c>
      <c r="N10" s="499"/>
      <c r="O10" s="503"/>
      <c r="P10" s="503" t="s">
        <v>1645</v>
      </c>
      <c r="Q10" s="503" t="s">
        <v>1674</v>
      </c>
      <c r="R10" s="499"/>
      <c r="S10" s="503"/>
      <c r="T10" s="503" t="s">
        <v>1645</v>
      </c>
      <c r="U10" s="503" t="s">
        <v>1674</v>
      </c>
      <c r="V10" s="499"/>
      <c r="W10" s="503"/>
      <c r="X10" s="503" t="s">
        <v>1645</v>
      </c>
      <c r="Y10" s="503" t="s">
        <v>1674</v>
      </c>
      <c r="Z10" s="499"/>
      <c r="AA10" s="503"/>
      <c r="AB10" s="503" t="s">
        <v>1645</v>
      </c>
      <c r="AC10" s="503" t="s">
        <v>1674</v>
      </c>
      <c r="AE10" s="503"/>
      <c r="AF10" s="503" t="s">
        <v>1645</v>
      </c>
      <c r="AG10" s="503" t="s">
        <v>1674</v>
      </c>
      <c r="AI10" s="503"/>
      <c r="AJ10" s="503" t="s">
        <v>1645</v>
      </c>
      <c r="AK10" s="503" t="s">
        <v>1674</v>
      </c>
      <c r="AM10" s="503"/>
      <c r="AN10" s="503" t="s">
        <v>1645</v>
      </c>
      <c r="AO10" s="503" t="s">
        <v>1674</v>
      </c>
      <c r="AQ10" s="503"/>
      <c r="AR10" s="503" t="s">
        <v>1645</v>
      </c>
      <c r="AS10" s="503" t="s">
        <v>1674</v>
      </c>
      <c r="AU10" s="503"/>
      <c r="AV10" s="503" t="s">
        <v>1645</v>
      </c>
      <c r="AW10" s="503" t="s">
        <v>1674</v>
      </c>
      <c r="AY10" s="503"/>
      <c r="AZ10" s="503" t="s">
        <v>1645</v>
      </c>
      <c r="BA10" s="503" t="s">
        <v>1674</v>
      </c>
      <c r="BC10" s="503"/>
      <c r="BD10" s="503" t="s">
        <v>1645</v>
      </c>
      <c r="BE10" s="503" t="s">
        <v>1674</v>
      </c>
      <c r="BH10" t="s">
        <v>856</v>
      </c>
      <c r="BI10">
        <v>43.1</v>
      </c>
      <c r="BK10" s="914" t="s">
        <v>1138</v>
      </c>
      <c r="BL10" s="775"/>
      <c r="BM10" s="719">
        <f t="shared" ref="BM10:BS10" si="1">+BM8-BM9</f>
        <v>-662</v>
      </c>
      <c r="BN10" s="719">
        <f t="shared" si="1"/>
        <v>346</v>
      </c>
      <c r="BO10" s="719">
        <f t="shared" si="1"/>
        <v>240</v>
      </c>
      <c r="BP10" s="719">
        <f t="shared" si="1"/>
        <v>1006</v>
      </c>
      <c r="BQ10" s="719">
        <f t="shared" si="1"/>
        <v>1480</v>
      </c>
      <c r="BR10" s="719">
        <f t="shared" si="1"/>
        <v>3139.6000000000004</v>
      </c>
      <c r="BS10" s="719">
        <f t="shared" si="1"/>
        <v>3921.8000000000011</v>
      </c>
      <c r="BW10" s="1307">
        <v>2491.1000000000004</v>
      </c>
      <c r="BX10" s="1912">
        <v>2600</v>
      </c>
      <c r="BY10" s="1912">
        <v>2900</v>
      </c>
      <c r="CA10" s="53">
        <f>+BS10-BM10</f>
        <v>4583.8000000000011</v>
      </c>
      <c r="CB10">
        <f>+CA10/CB5</f>
        <v>205.55156950672651</v>
      </c>
      <c r="CC10">
        <f>+CA10/5.25</f>
        <v>873.10476190476209</v>
      </c>
      <c r="CD10">
        <f>+CC10/CB5</f>
        <v>39.15267990604314</v>
      </c>
    </row>
    <row r="11" spans="2:82">
      <c r="C11" s="503" t="s">
        <v>926</v>
      </c>
      <c r="D11" s="503" t="s">
        <v>13</v>
      </c>
      <c r="E11" s="503" t="s">
        <v>1675</v>
      </c>
      <c r="G11" s="503" t="s">
        <v>926</v>
      </c>
      <c r="H11" s="503" t="s">
        <v>13</v>
      </c>
      <c r="I11" s="503" t="s">
        <v>1675</v>
      </c>
      <c r="K11" s="503" t="s">
        <v>926</v>
      </c>
      <c r="L11" s="503" t="s">
        <v>13</v>
      </c>
      <c r="M11" s="503" t="s">
        <v>1675</v>
      </c>
      <c r="N11" s="499"/>
      <c r="O11" s="503" t="s">
        <v>926</v>
      </c>
      <c r="P11" s="503" t="s">
        <v>13</v>
      </c>
      <c r="Q11" s="503" t="s">
        <v>1675</v>
      </c>
      <c r="R11" s="499"/>
      <c r="S11" s="503" t="s">
        <v>926</v>
      </c>
      <c r="T11" s="503" t="s">
        <v>13</v>
      </c>
      <c r="U11" s="503" t="s">
        <v>1675</v>
      </c>
      <c r="V11" s="499"/>
      <c r="W11" s="503" t="s">
        <v>926</v>
      </c>
      <c r="X11" s="503" t="s">
        <v>13</v>
      </c>
      <c r="Y11" s="503" t="s">
        <v>1675</v>
      </c>
      <c r="Z11" s="499"/>
      <c r="AA11" s="503" t="s">
        <v>926</v>
      </c>
      <c r="AB11" s="503" t="s">
        <v>13</v>
      </c>
      <c r="AC11" s="503" t="s">
        <v>1675</v>
      </c>
      <c r="AE11" s="503" t="s">
        <v>926</v>
      </c>
      <c r="AF11" s="503" t="s">
        <v>13</v>
      </c>
      <c r="AG11" s="503" t="s">
        <v>1675</v>
      </c>
      <c r="AI11" s="503" t="s">
        <v>926</v>
      </c>
      <c r="AJ11" s="503" t="s">
        <v>13</v>
      </c>
      <c r="AK11" s="503" t="s">
        <v>1675</v>
      </c>
      <c r="AM11" s="503" t="s">
        <v>926</v>
      </c>
      <c r="AN11" s="503" t="s">
        <v>13</v>
      </c>
      <c r="AO11" s="503" t="s">
        <v>1675</v>
      </c>
      <c r="AQ11" s="503" t="s">
        <v>926</v>
      </c>
      <c r="AR11" s="503" t="s">
        <v>13</v>
      </c>
      <c r="AS11" s="503" t="s">
        <v>1675</v>
      </c>
      <c r="AU11" s="503" t="s">
        <v>926</v>
      </c>
      <c r="AV11" s="503" t="s">
        <v>13</v>
      </c>
      <c r="AW11" s="503" t="s">
        <v>1675</v>
      </c>
      <c r="AY11" s="503" t="s">
        <v>926</v>
      </c>
      <c r="AZ11" s="503" t="s">
        <v>13</v>
      </c>
      <c r="BA11" s="503" t="s">
        <v>1675</v>
      </c>
      <c r="BC11" s="503" t="s">
        <v>926</v>
      </c>
      <c r="BD11" s="503" t="s">
        <v>13</v>
      </c>
      <c r="BE11" s="503" t="s">
        <v>1675</v>
      </c>
      <c r="BH11" s="501" t="s">
        <v>57</v>
      </c>
      <c r="BI11">
        <v>66.599999999999994</v>
      </c>
      <c r="BX11" s="1913"/>
      <c r="BY11" s="1913"/>
    </row>
    <row r="12" spans="2:82">
      <c r="B12" s="45" t="s">
        <v>1679</v>
      </c>
      <c r="C12" s="504" t="s">
        <v>10</v>
      </c>
      <c r="D12" s="504" t="s">
        <v>10</v>
      </c>
      <c r="E12" s="504" t="s">
        <v>1149</v>
      </c>
      <c r="F12" s="80"/>
      <c r="G12" s="504" t="s">
        <v>10</v>
      </c>
      <c r="H12" s="504" t="s">
        <v>10</v>
      </c>
      <c r="I12" s="504" t="s">
        <v>1149</v>
      </c>
      <c r="J12" s="80"/>
      <c r="K12" s="504" t="s">
        <v>10</v>
      </c>
      <c r="L12" s="504" t="s">
        <v>10</v>
      </c>
      <c r="M12" s="504" t="s">
        <v>1149</v>
      </c>
      <c r="N12" s="499"/>
      <c r="O12" s="504" t="s">
        <v>10</v>
      </c>
      <c r="P12" s="504" t="s">
        <v>10</v>
      </c>
      <c r="Q12" s="504" t="s">
        <v>1149</v>
      </c>
      <c r="R12" s="499"/>
      <c r="S12" s="504" t="s">
        <v>10</v>
      </c>
      <c r="T12" s="504" t="s">
        <v>10</v>
      </c>
      <c r="U12" s="504" t="s">
        <v>1149</v>
      </c>
      <c r="V12" s="499"/>
      <c r="W12" s="504" t="s">
        <v>10</v>
      </c>
      <c r="X12" s="504" t="s">
        <v>10</v>
      </c>
      <c r="Y12" s="504" t="s">
        <v>1149</v>
      </c>
      <c r="Z12" s="499"/>
      <c r="AA12" s="504" t="s">
        <v>10</v>
      </c>
      <c r="AB12" s="504" t="s">
        <v>10</v>
      </c>
      <c r="AC12" s="504" t="s">
        <v>1149</v>
      </c>
      <c r="AE12" s="504" t="s">
        <v>10</v>
      </c>
      <c r="AF12" s="504" t="s">
        <v>10</v>
      </c>
      <c r="AG12" s="504" t="s">
        <v>1149</v>
      </c>
      <c r="AI12" s="504" t="s">
        <v>10</v>
      </c>
      <c r="AJ12" s="504" t="s">
        <v>10</v>
      </c>
      <c r="AK12" s="504" t="s">
        <v>1149</v>
      </c>
      <c r="AM12" s="504" t="s">
        <v>10</v>
      </c>
      <c r="AN12" s="504" t="s">
        <v>10</v>
      </c>
      <c r="AO12" s="504" t="s">
        <v>1149</v>
      </c>
      <c r="AQ12" s="504" t="s">
        <v>10</v>
      </c>
      <c r="AR12" s="504" t="s">
        <v>10</v>
      </c>
      <c r="AS12" s="504" t="s">
        <v>1149</v>
      </c>
      <c r="AU12" s="504" t="s">
        <v>10</v>
      </c>
      <c r="AV12" s="504" t="s">
        <v>10</v>
      </c>
      <c r="AW12" s="504" t="s">
        <v>1149</v>
      </c>
      <c r="AY12" s="504" t="s">
        <v>10</v>
      </c>
      <c r="AZ12" s="504" t="s">
        <v>10</v>
      </c>
      <c r="BA12" s="504" t="s">
        <v>1149</v>
      </c>
      <c r="BC12" s="504" t="s">
        <v>10</v>
      </c>
      <c r="BD12" s="504" t="s">
        <v>10</v>
      </c>
      <c r="BE12" s="504" t="s">
        <v>1149</v>
      </c>
      <c r="BK12" s="50" t="s">
        <v>1139</v>
      </c>
      <c r="BL12" s="63"/>
      <c r="BM12" s="318"/>
      <c r="BN12" s="318">
        <f t="shared" ref="BN12:BS12" si="2">+BN10-BM10</f>
        <v>1008</v>
      </c>
      <c r="BO12" s="318">
        <f t="shared" si="2"/>
        <v>-106</v>
      </c>
      <c r="BP12" s="318">
        <f t="shared" si="2"/>
        <v>766</v>
      </c>
      <c r="BQ12" s="318">
        <f t="shared" si="2"/>
        <v>474</v>
      </c>
      <c r="BR12" s="318">
        <f t="shared" si="2"/>
        <v>1659.6000000000004</v>
      </c>
      <c r="BS12" s="318">
        <f t="shared" si="2"/>
        <v>782.20000000000073</v>
      </c>
      <c r="BT12" s="53">
        <f>+BN12+BO12+BP12+BQ12+BR12+BS12</f>
        <v>4583.8000000000011</v>
      </c>
      <c r="BU12" s="53">
        <f>+BT12/5.25</f>
        <v>873.10476190476209</v>
      </c>
      <c r="BW12" s="1307">
        <v>1011.1000000000004</v>
      </c>
      <c r="BX12" s="1912">
        <v>1120</v>
      </c>
      <c r="BY12" s="1912">
        <v>300</v>
      </c>
    </row>
    <row r="13" spans="2:82">
      <c r="B13" s="11" t="s">
        <v>1672</v>
      </c>
      <c r="F13" s="11"/>
      <c r="J13" s="11"/>
      <c r="N13" s="11"/>
      <c r="BH13" t="s">
        <v>1708</v>
      </c>
      <c r="BI13">
        <v>240.8</v>
      </c>
      <c r="BK13" s="50" t="s">
        <v>2107</v>
      </c>
      <c r="BL13" s="63"/>
      <c r="BM13" s="318"/>
      <c r="BN13" s="318">
        <f t="shared" ref="BN13:BS13" si="3">+BN12/BN21</f>
        <v>37.611940298507463</v>
      </c>
      <c r="BO13" s="318">
        <f t="shared" si="3"/>
        <v>-4.1503523884103366</v>
      </c>
      <c r="BP13" s="318">
        <f t="shared" si="3"/>
        <v>30.288651640964808</v>
      </c>
      <c r="BQ13" s="318">
        <f t="shared" si="3"/>
        <v>19.506172839506171</v>
      </c>
      <c r="BR13" s="318">
        <f t="shared" si="3"/>
        <v>70.923076923076948</v>
      </c>
      <c r="BS13" s="318">
        <f t="shared" si="3"/>
        <v>34.764444444444479</v>
      </c>
      <c r="BW13" s="1307">
        <v>43.394849785407743</v>
      </c>
      <c r="BX13" s="1912">
        <v>47.863247863247864</v>
      </c>
      <c r="BY13" s="1912">
        <v>13.274336283185839</v>
      </c>
    </row>
    <row r="14" spans="2:82">
      <c r="B14" s="46" t="s">
        <v>2</v>
      </c>
      <c r="C14" s="318">
        <v>4579.3</v>
      </c>
      <c r="D14" s="318">
        <v>2790.3</v>
      </c>
      <c r="E14" s="318">
        <f>+C14-D14</f>
        <v>1789</v>
      </c>
      <c r="F14" s="69"/>
      <c r="G14" s="318">
        <v>4703</v>
      </c>
      <c r="H14" s="318">
        <v>2728.2</v>
      </c>
      <c r="I14" s="318">
        <f>+G14-H14</f>
        <v>1974.8000000000002</v>
      </c>
      <c r="J14" s="69"/>
      <c r="K14" s="318">
        <v>2923.5</v>
      </c>
      <c r="L14" s="318">
        <v>2374.8000000000002</v>
      </c>
      <c r="M14" s="318">
        <f>+K14-L14</f>
        <v>548.69999999999982</v>
      </c>
      <c r="N14" s="69"/>
      <c r="O14" s="318">
        <v>2742.3</v>
      </c>
      <c r="P14" s="318">
        <v>2282.9</v>
      </c>
      <c r="Q14" s="318">
        <f>+O14-P14</f>
        <v>459.40000000000009</v>
      </c>
      <c r="S14" s="318">
        <v>2251.6</v>
      </c>
      <c r="T14" s="318">
        <v>2099</v>
      </c>
      <c r="U14" s="318">
        <f>+S14-T14</f>
        <v>152.59999999999991</v>
      </c>
      <c r="W14" s="318">
        <v>1344.5</v>
      </c>
      <c r="X14" s="318">
        <v>1507.6</v>
      </c>
      <c r="Y14" s="318">
        <f>+W14-X14</f>
        <v>-163.09999999999991</v>
      </c>
      <c r="AA14" s="318">
        <v>1210.3</v>
      </c>
      <c r="AB14" s="318">
        <v>1298</v>
      </c>
      <c r="AC14" s="318">
        <f>+AA14-AB14</f>
        <v>-87.700000000000045</v>
      </c>
      <c r="AE14" s="318">
        <v>799.9</v>
      </c>
      <c r="AF14" s="318">
        <v>1166.3</v>
      </c>
      <c r="AG14" s="318">
        <f>+AE14-AF14</f>
        <v>-366.4</v>
      </c>
      <c r="AI14" s="318">
        <v>0</v>
      </c>
      <c r="AJ14" s="318">
        <v>0</v>
      </c>
      <c r="AK14" s="318">
        <f>+AI14-AJ14</f>
        <v>0</v>
      </c>
      <c r="AM14" s="318">
        <v>0</v>
      </c>
      <c r="AN14" s="318">
        <v>0</v>
      </c>
      <c r="AO14" s="318">
        <f>+AM14-AN14</f>
        <v>0</v>
      </c>
      <c r="AQ14" s="318">
        <v>0</v>
      </c>
      <c r="AR14" s="318">
        <v>0</v>
      </c>
      <c r="AS14" s="318">
        <f>+AQ14-AR14</f>
        <v>0</v>
      </c>
      <c r="AU14" s="318">
        <v>0</v>
      </c>
      <c r="AV14" s="318">
        <v>0</v>
      </c>
      <c r="AW14" s="318">
        <f>+AU14-AV14</f>
        <v>0</v>
      </c>
      <c r="AY14" s="318">
        <v>0</v>
      </c>
      <c r="AZ14" s="318">
        <v>0</v>
      </c>
      <c r="BA14" s="318">
        <f>+AY14-AZ14</f>
        <v>0</v>
      </c>
      <c r="BC14" s="318">
        <v>0</v>
      </c>
      <c r="BD14" s="318">
        <v>0</v>
      </c>
      <c r="BE14" s="318">
        <f>+BC14-BD14</f>
        <v>0</v>
      </c>
      <c r="BH14" t="s">
        <v>1709</v>
      </c>
      <c r="BI14">
        <v>303.60000000000002</v>
      </c>
      <c r="BK14" s="914" t="s">
        <v>2108</v>
      </c>
      <c r="BL14" s="775"/>
      <c r="BM14" s="719"/>
      <c r="BN14" s="719">
        <f t="shared" ref="BN14:BS14" si="4">+BN13*0.8</f>
        <v>30.089552238805972</v>
      </c>
      <c r="BO14" s="719">
        <f t="shared" si="4"/>
        <v>-3.3202819107282693</v>
      </c>
      <c r="BP14" s="719">
        <f t="shared" si="4"/>
        <v>24.230921312771848</v>
      </c>
      <c r="BQ14" s="719">
        <f t="shared" si="4"/>
        <v>15.604938271604937</v>
      </c>
      <c r="BR14" s="719">
        <f t="shared" si="4"/>
        <v>56.738461538461564</v>
      </c>
      <c r="BS14" s="719">
        <f t="shared" si="4"/>
        <v>27.811555555555586</v>
      </c>
      <c r="BT14" s="53"/>
      <c r="BW14" s="1067">
        <v>34.715879828326194</v>
      </c>
      <c r="BX14" s="1914">
        <v>38.29059829059829</v>
      </c>
      <c r="BY14" s="1914">
        <v>10.619469026548671</v>
      </c>
    </row>
    <row r="15" spans="2:82">
      <c r="B15" s="46" t="s">
        <v>1879</v>
      </c>
      <c r="C15" s="318">
        <v>3736.2</v>
      </c>
      <c r="D15" s="318">
        <v>2097.4</v>
      </c>
      <c r="E15" s="318">
        <f t="shared" ref="E15:E19" si="5">+C15-D15</f>
        <v>1638.7999999999997</v>
      </c>
      <c r="F15" s="69"/>
      <c r="G15" s="318">
        <v>2640.4</v>
      </c>
      <c r="H15" s="318">
        <v>2046.4</v>
      </c>
      <c r="I15" s="318">
        <f t="shared" ref="I15:I19" si="6">+G15-H15</f>
        <v>594</v>
      </c>
      <c r="J15" s="69"/>
      <c r="K15" s="318">
        <v>2046.3</v>
      </c>
      <c r="L15" s="318">
        <v>1858.5</v>
      </c>
      <c r="M15" s="318">
        <f t="shared" ref="M15:M27" si="7">+K15-L15</f>
        <v>187.79999999999995</v>
      </c>
      <c r="N15" s="69"/>
      <c r="O15" s="318">
        <v>2046.3</v>
      </c>
      <c r="P15" s="318">
        <v>1776.8</v>
      </c>
      <c r="Q15" s="318">
        <f t="shared" ref="Q15:Q27" si="8">+O15-P15</f>
        <v>269.5</v>
      </c>
      <c r="S15" s="318">
        <v>2046.3</v>
      </c>
      <c r="T15" s="318">
        <v>1706.4</v>
      </c>
      <c r="U15" s="318">
        <f t="shared" ref="U15:U28" si="9">+S15-T15</f>
        <v>339.89999999999986</v>
      </c>
      <c r="W15" s="318">
        <v>1864.7</v>
      </c>
      <c r="X15" s="318">
        <v>1506.3</v>
      </c>
      <c r="Y15" s="318">
        <f t="shared" ref="Y15:Y28" si="10">+W15-X15</f>
        <v>358.40000000000009</v>
      </c>
      <c r="AA15" s="318">
        <v>1285.8</v>
      </c>
      <c r="AB15" s="318">
        <v>922.1</v>
      </c>
      <c r="AC15" s="318">
        <f t="shared" ref="AC15:AC28" si="11">+AA15-AB15</f>
        <v>363.69999999999993</v>
      </c>
      <c r="AE15" s="318">
        <v>978.9</v>
      </c>
      <c r="AF15" s="318">
        <v>900.1</v>
      </c>
      <c r="AG15" s="318">
        <f t="shared" ref="AG15:AG28" si="12">+AE15-AF15</f>
        <v>78.799999999999955</v>
      </c>
      <c r="AI15" s="318">
        <v>994.5</v>
      </c>
      <c r="AJ15" s="318">
        <v>626.9</v>
      </c>
      <c r="AK15" s="318">
        <f t="shared" ref="AK15:AK28" si="13">+AI15-AJ15</f>
        <v>367.6</v>
      </c>
      <c r="AM15" s="318">
        <v>0</v>
      </c>
      <c r="AN15" s="318">
        <v>0</v>
      </c>
      <c r="AO15" s="318">
        <f t="shared" ref="AO15:AO28" si="14">+AM15-AN15</f>
        <v>0</v>
      </c>
      <c r="AQ15" s="318">
        <v>0</v>
      </c>
      <c r="AR15" s="318">
        <v>0</v>
      </c>
      <c r="AS15" s="318">
        <f t="shared" ref="AS15:AS28" si="15">+AQ15-AR15</f>
        <v>0</v>
      </c>
      <c r="AU15" s="318">
        <v>0</v>
      </c>
      <c r="AV15" s="318">
        <v>0</v>
      </c>
      <c r="AW15" s="318">
        <f t="shared" ref="AW15:AW28" si="16">+AU15-AV15</f>
        <v>0</v>
      </c>
      <c r="AY15" s="318">
        <v>0</v>
      </c>
      <c r="AZ15" s="318">
        <v>0</v>
      </c>
      <c r="BA15" s="318">
        <f t="shared" ref="BA15:BA28" si="17">+AY15-AZ15</f>
        <v>0</v>
      </c>
      <c r="BC15" s="318">
        <v>0</v>
      </c>
      <c r="BD15" s="318">
        <v>0</v>
      </c>
      <c r="BE15" s="318">
        <f t="shared" ref="BE15:BE28" si="18">+BC15-BD15</f>
        <v>0</v>
      </c>
      <c r="BH15" t="s">
        <v>1710</v>
      </c>
      <c r="BI15">
        <v>300.8</v>
      </c>
      <c r="BX15" s="1913"/>
      <c r="BY15" s="1913"/>
    </row>
    <row r="16" spans="2:82">
      <c r="B16" s="46" t="s">
        <v>4</v>
      </c>
      <c r="C16" s="318">
        <v>0</v>
      </c>
      <c r="D16" s="318">
        <v>0</v>
      </c>
      <c r="E16" s="318">
        <f t="shared" si="5"/>
        <v>0</v>
      </c>
      <c r="F16" s="69"/>
      <c r="G16" s="318">
        <v>118.3</v>
      </c>
      <c r="H16" s="318">
        <v>190.9</v>
      </c>
      <c r="I16" s="318">
        <f t="shared" si="6"/>
        <v>-72.600000000000009</v>
      </c>
      <c r="J16" s="69"/>
      <c r="K16" s="318">
        <v>397.3</v>
      </c>
      <c r="L16" s="318">
        <v>426.4</v>
      </c>
      <c r="M16" s="318">
        <f t="shared" si="7"/>
        <v>-29.099999999999966</v>
      </c>
      <c r="N16" s="69"/>
      <c r="O16" s="318">
        <v>369.8</v>
      </c>
      <c r="P16" s="318">
        <v>431.5</v>
      </c>
      <c r="Q16" s="318">
        <f t="shared" si="8"/>
        <v>-61.699999999999989</v>
      </c>
      <c r="S16" s="318">
        <v>321.89999999999998</v>
      </c>
      <c r="T16" s="318">
        <v>430.2</v>
      </c>
      <c r="U16" s="318">
        <f t="shared" si="9"/>
        <v>-108.30000000000001</v>
      </c>
      <c r="W16" s="318">
        <v>222.2</v>
      </c>
      <c r="X16" s="318">
        <v>447.1</v>
      </c>
      <c r="Y16" s="318">
        <f t="shared" si="10"/>
        <v>-224.90000000000003</v>
      </c>
      <c r="AA16" s="318">
        <v>514.1</v>
      </c>
      <c r="AB16" s="318">
        <v>492.1</v>
      </c>
      <c r="AC16" s="318">
        <f t="shared" si="11"/>
        <v>22</v>
      </c>
      <c r="AE16" s="318">
        <v>356.4</v>
      </c>
      <c r="AF16" s="318">
        <v>542.70000000000005</v>
      </c>
      <c r="AG16" s="318">
        <f t="shared" si="12"/>
        <v>-186.30000000000007</v>
      </c>
      <c r="AI16" s="318">
        <v>332.1</v>
      </c>
      <c r="AJ16" s="318">
        <v>704.1</v>
      </c>
      <c r="AK16" s="318">
        <f t="shared" si="13"/>
        <v>-372</v>
      </c>
      <c r="AM16" s="318">
        <v>0</v>
      </c>
      <c r="AN16" s="318">
        <v>0</v>
      </c>
      <c r="AO16" s="318">
        <f t="shared" si="14"/>
        <v>0</v>
      </c>
      <c r="AQ16" s="318">
        <v>0</v>
      </c>
      <c r="AR16" s="318">
        <v>0</v>
      </c>
      <c r="AS16" s="318">
        <f t="shared" si="15"/>
        <v>0</v>
      </c>
      <c r="AU16" s="318">
        <v>0</v>
      </c>
      <c r="AV16" s="318">
        <v>0</v>
      </c>
      <c r="AW16" s="318">
        <f t="shared" si="16"/>
        <v>0</v>
      </c>
      <c r="AY16" s="318">
        <v>0</v>
      </c>
      <c r="AZ16" s="318">
        <v>0</v>
      </c>
      <c r="BA16" s="318">
        <f t="shared" si="17"/>
        <v>0</v>
      </c>
      <c r="BC16" s="318">
        <v>0</v>
      </c>
      <c r="BD16" s="318">
        <v>0</v>
      </c>
      <c r="BE16" s="318">
        <f t="shared" si="18"/>
        <v>0</v>
      </c>
      <c r="BH16" t="s">
        <v>1711</v>
      </c>
      <c r="BI16">
        <v>153.5</v>
      </c>
      <c r="BK16" s="1636" t="s">
        <v>2077</v>
      </c>
      <c r="BL16" s="976"/>
      <c r="BM16" s="765">
        <v>6.29</v>
      </c>
      <c r="BN16" s="765">
        <v>122.25</v>
      </c>
      <c r="BO16" s="765">
        <v>43.49</v>
      </c>
      <c r="BP16" s="765">
        <v>173.24</v>
      </c>
      <c r="BQ16" s="765">
        <v>160.56</v>
      </c>
      <c r="BR16" s="765">
        <v>213.78</v>
      </c>
      <c r="BS16" s="765">
        <v>31.11</v>
      </c>
      <c r="BW16" s="1361">
        <v>156.31</v>
      </c>
      <c r="BX16" s="1915">
        <v>195.24786324786328</v>
      </c>
      <c r="BY16" s="1915">
        <v>190.41516814159289</v>
      </c>
    </row>
    <row r="17" spans="2:77" ht="17" thickBot="1">
      <c r="B17" s="46" t="s">
        <v>104</v>
      </c>
      <c r="C17" s="318">
        <v>0</v>
      </c>
      <c r="D17" s="318">
        <v>0</v>
      </c>
      <c r="E17" s="318">
        <f t="shared" si="5"/>
        <v>0</v>
      </c>
      <c r="F17" s="69"/>
      <c r="G17" s="318">
        <v>591.6</v>
      </c>
      <c r="H17" s="318">
        <v>512.6</v>
      </c>
      <c r="I17" s="318">
        <f t="shared" si="6"/>
        <v>79</v>
      </c>
      <c r="J17" s="69"/>
      <c r="K17" s="318">
        <v>460</v>
      </c>
      <c r="L17" s="318">
        <v>458</v>
      </c>
      <c r="M17" s="318">
        <f t="shared" si="7"/>
        <v>2</v>
      </c>
      <c r="N17" s="69"/>
      <c r="O17" s="318"/>
      <c r="P17" s="318"/>
      <c r="Q17" s="318"/>
      <c r="S17" s="318">
        <v>435</v>
      </c>
      <c r="T17" s="318">
        <v>418</v>
      </c>
      <c r="U17" s="318">
        <f t="shared" si="9"/>
        <v>17</v>
      </c>
      <c r="W17" s="318">
        <v>545</v>
      </c>
      <c r="X17" s="318">
        <v>288</v>
      </c>
      <c r="Y17" s="318">
        <f t="shared" si="10"/>
        <v>257</v>
      </c>
      <c r="AA17" s="318">
        <v>267</v>
      </c>
      <c r="AB17" s="318">
        <v>195</v>
      </c>
      <c r="AC17" s="318">
        <f t="shared" si="11"/>
        <v>72</v>
      </c>
      <c r="AE17" s="318">
        <v>238</v>
      </c>
      <c r="AF17" s="318">
        <v>238</v>
      </c>
      <c r="AG17" s="318">
        <f t="shared" si="12"/>
        <v>0</v>
      </c>
      <c r="AI17" s="318">
        <v>238.2</v>
      </c>
      <c r="AJ17" s="318">
        <v>243.2</v>
      </c>
      <c r="AK17" s="318">
        <f t="shared" si="13"/>
        <v>-5</v>
      </c>
      <c r="AM17" s="318">
        <v>0</v>
      </c>
      <c r="AN17" s="318">
        <v>0</v>
      </c>
      <c r="AO17" s="318">
        <f t="shared" si="14"/>
        <v>0</v>
      </c>
      <c r="AQ17" s="318">
        <v>0</v>
      </c>
      <c r="AR17" s="318">
        <v>0</v>
      </c>
      <c r="AS17" s="318">
        <f t="shared" ref="AS17:AS25" si="19">+AQ17-AR17</f>
        <v>0</v>
      </c>
      <c r="AU17" s="318">
        <v>0</v>
      </c>
      <c r="AV17" s="318">
        <v>0</v>
      </c>
      <c r="AW17" s="318">
        <f t="shared" ref="AW17:AW25" si="20">+AU17-AV17</f>
        <v>0</v>
      </c>
      <c r="AY17" s="318">
        <v>0</v>
      </c>
      <c r="AZ17" s="318">
        <v>0</v>
      </c>
      <c r="BA17" s="318">
        <f t="shared" ref="BA17:BA24" si="21">+AY17-AZ17</f>
        <v>0</v>
      </c>
      <c r="BC17" s="318">
        <v>0</v>
      </c>
      <c r="BD17" s="318">
        <v>0</v>
      </c>
      <c r="BE17" s="318">
        <f t="shared" ref="BE17:BE25" si="22">+BC17-BD17</f>
        <v>0</v>
      </c>
      <c r="BH17" t="s">
        <v>1712</v>
      </c>
      <c r="BI17">
        <v>0</v>
      </c>
      <c r="BK17" s="802" t="s">
        <v>2109</v>
      </c>
      <c r="BL17" s="1349"/>
      <c r="BM17" s="740"/>
      <c r="BN17" s="740">
        <f t="shared" ref="BN17:BS17" si="23">+BN14+BN16</f>
        <v>152.33955223880596</v>
      </c>
      <c r="BO17" s="740">
        <f t="shared" si="23"/>
        <v>40.169718089271733</v>
      </c>
      <c r="BP17" s="740">
        <f t="shared" si="23"/>
        <v>197.47092131277185</v>
      </c>
      <c r="BQ17" s="740">
        <f t="shared" si="23"/>
        <v>176.16493827160494</v>
      </c>
      <c r="BR17" s="740">
        <f t="shared" si="23"/>
        <v>270.51846153846157</v>
      </c>
      <c r="BS17" s="740">
        <f t="shared" si="23"/>
        <v>58.921555555555585</v>
      </c>
      <c r="BW17" s="1441">
        <v>191.0258798283262</v>
      </c>
      <c r="BX17" s="1916">
        <v>233.53846153846158</v>
      </c>
      <c r="BY17" s="1916">
        <v>201.03463716814156</v>
      </c>
    </row>
    <row r="18" spans="2:77">
      <c r="B18" s="46" t="s">
        <v>2410</v>
      </c>
      <c r="C18" s="318">
        <v>0</v>
      </c>
      <c r="D18" s="318">
        <v>0</v>
      </c>
      <c r="E18" s="318">
        <f t="shared" si="5"/>
        <v>0</v>
      </c>
      <c r="F18" s="69"/>
      <c r="G18" s="318">
        <v>390.2</v>
      </c>
      <c r="H18" s="318">
        <v>390.2</v>
      </c>
      <c r="I18" s="318">
        <f t="shared" si="6"/>
        <v>0</v>
      </c>
      <c r="J18" s="69"/>
      <c r="K18" s="836"/>
      <c r="L18" s="836"/>
      <c r="M18" s="836"/>
      <c r="N18" s="69"/>
      <c r="O18" s="318"/>
      <c r="P18" s="318"/>
      <c r="Q18" s="318"/>
      <c r="S18" s="836"/>
      <c r="T18" s="836"/>
      <c r="U18" s="836"/>
      <c r="W18" s="836"/>
      <c r="X18" s="836"/>
      <c r="Y18" s="836"/>
      <c r="AA18" s="836"/>
      <c r="AB18" s="836"/>
      <c r="AC18" s="836"/>
      <c r="AE18" s="836"/>
      <c r="AF18" s="836"/>
      <c r="AG18" s="836"/>
      <c r="AI18" s="318"/>
      <c r="AJ18" s="318"/>
      <c r="AK18" s="318"/>
      <c r="AM18" s="318"/>
      <c r="AN18" s="318"/>
      <c r="AO18" s="318"/>
      <c r="AQ18" s="318"/>
      <c r="AR18" s="318"/>
      <c r="AS18" s="318"/>
      <c r="AU18" s="318"/>
      <c r="AV18" s="318"/>
      <c r="AW18" s="318"/>
      <c r="AY18" s="318"/>
      <c r="AZ18" s="318"/>
      <c r="BA18" s="318"/>
      <c r="BC18" s="318"/>
      <c r="BD18" s="318"/>
      <c r="BE18" s="318"/>
      <c r="BK18" s="2053"/>
      <c r="BL18" s="2053"/>
      <c r="BM18" s="2054"/>
      <c r="BN18" s="2054"/>
      <c r="BO18" s="2054"/>
      <c r="BP18" s="2054"/>
      <c r="BQ18" s="2054"/>
      <c r="BR18" s="2054"/>
      <c r="BS18" s="2054"/>
      <c r="BW18" s="2054"/>
      <c r="BX18" s="2054"/>
      <c r="BY18" s="2054"/>
    </row>
    <row r="19" spans="2:77">
      <c r="B19" s="46" t="s">
        <v>1704</v>
      </c>
      <c r="C19" s="318">
        <v>0</v>
      </c>
      <c r="D19" s="318">
        <v>0</v>
      </c>
      <c r="E19" s="318">
        <f t="shared" si="5"/>
        <v>0</v>
      </c>
      <c r="F19" s="69"/>
      <c r="G19" s="318">
        <v>54.1</v>
      </c>
      <c r="H19" s="318">
        <v>155.80000000000001</v>
      </c>
      <c r="I19" s="318">
        <f t="shared" si="6"/>
        <v>-101.70000000000002</v>
      </c>
      <c r="J19" s="69"/>
      <c r="K19" s="318">
        <v>73</v>
      </c>
      <c r="L19" s="318">
        <v>163</v>
      </c>
      <c r="M19" s="318">
        <f t="shared" si="7"/>
        <v>-90</v>
      </c>
      <c r="N19" s="69"/>
      <c r="O19" s="318"/>
      <c r="P19" s="318"/>
      <c r="Q19" s="318"/>
      <c r="S19" s="318">
        <v>91</v>
      </c>
      <c r="T19" s="318">
        <v>198</v>
      </c>
      <c r="U19" s="318">
        <f t="shared" si="9"/>
        <v>-107</v>
      </c>
      <c r="W19" s="318">
        <v>104</v>
      </c>
      <c r="X19" s="318">
        <v>183</v>
      </c>
      <c r="Y19" s="318">
        <f t="shared" si="10"/>
        <v>-79</v>
      </c>
      <c r="AA19" s="318">
        <v>116</v>
      </c>
      <c r="AB19" s="318">
        <v>206</v>
      </c>
      <c r="AC19" s="318">
        <f t="shared" si="11"/>
        <v>-90</v>
      </c>
      <c r="AE19" s="318">
        <v>186</v>
      </c>
      <c r="AF19" s="318">
        <v>186</v>
      </c>
      <c r="AG19" s="318">
        <f t="shared" si="12"/>
        <v>0</v>
      </c>
      <c r="AI19" s="318">
        <v>0</v>
      </c>
      <c r="AJ19" s="318">
        <v>0</v>
      </c>
      <c r="AK19" s="318">
        <f t="shared" si="13"/>
        <v>0</v>
      </c>
      <c r="AM19" s="318">
        <v>0</v>
      </c>
      <c r="AN19" s="318">
        <v>0</v>
      </c>
      <c r="AO19" s="318">
        <f t="shared" si="14"/>
        <v>0</v>
      </c>
      <c r="AQ19" s="318">
        <v>0</v>
      </c>
      <c r="AR19" s="318">
        <v>0</v>
      </c>
      <c r="AS19" s="318">
        <f t="shared" si="19"/>
        <v>0</v>
      </c>
      <c r="AU19" s="318">
        <v>0</v>
      </c>
      <c r="AV19" s="318">
        <v>0</v>
      </c>
      <c r="AW19" s="318">
        <f t="shared" si="20"/>
        <v>0</v>
      </c>
      <c r="AY19" s="318">
        <v>0</v>
      </c>
      <c r="AZ19" s="318">
        <v>0</v>
      </c>
      <c r="BA19" s="318">
        <f t="shared" si="21"/>
        <v>0</v>
      </c>
      <c r="BC19" s="318">
        <v>0</v>
      </c>
      <c r="BD19" s="318">
        <v>0</v>
      </c>
      <c r="BE19" s="318">
        <f t="shared" si="22"/>
        <v>0</v>
      </c>
      <c r="BH19" t="s">
        <v>1713</v>
      </c>
    </row>
    <row r="20" spans="2:77">
      <c r="B20" s="46" t="s">
        <v>105</v>
      </c>
      <c r="C20" s="836"/>
      <c r="D20" s="836"/>
      <c r="E20" s="836"/>
      <c r="F20" s="69"/>
      <c r="G20" s="836"/>
      <c r="H20" s="836"/>
      <c r="I20" s="836"/>
      <c r="J20" s="69"/>
      <c r="K20" s="836"/>
      <c r="L20" s="836"/>
      <c r="M20" s="836"/>
      <c r="N20" s="69"/>
      <c r="O20" s="318"/>
      <c r="P20" s="318"/>
      <c r="Q20" s="318"/>
      <c r="S20" s="318">
        <v>226</v>
      </c>
      <c r="T20" s="318">
        <v>129</v>
      </c>
      <c r="U20" s="318">
        <f t="shared" si="9"/>
        <v>97</v>
      </c>
      <c r="W20" s="318">
        <v>195</v>
      </c>
      <c r="X20" s="318">
        <v>124</v>
      </c>
      <c r="Y20" s="318">
        <f t="shared" si="10"/>
        <v>71</v>
      </c>
      <c r="AA20" s="318">
        <v>181</v>
      </c>
      <c r="AB20" s="318">
        <v>141</v>
      </c>
      <c r="AC20" s="318">
        <f t="shared" si="11"/>
        <v>40</v>
      </c>
      <c r="AE20" s="318">
        <v>172</v>
      </c>
      <c r="AF20" s="318">
        <v>140</v>
      </c>
      <c r="AG20" s="318">
        <f t="shared" si="12"/>
        <v>32</v>
      </c>
      <c r="AI20" s="318">
        <v>163.9</v>
      </c>
      <c r="AJ20" s="318">
        <v>104.4</v>
      </c>
      <c r="AK20" s="318">
        <f t="shared" si="13"/>
        <v>59.5</v>
      </c>
      <c r="AM20" s="318">
        <v>0</v>
      </c>
      <c r="AN20" s="318">
        <v>0</v>
      </c>
      <c r="AO20" s="318">
        <f t="shared" si="14"/>
        <v>0</v>
      </c>
      <c r="AQ20" s="318">
        <v>0</v>
      </c>
      <c r="AR20" s="318">
        <v>0</v>
      </c>
      <c r="AS20" s="318">
        <f t="shared" si="19"/>
        <v>0</v>
      </c>
      <c r="AU20" s="318">
        <v>0</v>
      </c>
      <c r="AV20" s="318">
        <v>0</v>
      </c>
      <c r="AW20" s="318">
        <f t="shared" si="20"/>
        <v>0</v>
      </c>
      <c r="AY20" s="318">
        <v>0</v>
      </c>
      <c r="AZ20" s="318">
        <v>0</v>
      </c>
      <c r="BA20" s="318">
        <f t="shared" si="21"/>
        <v>0</v>
      </c>
      <c r="BC20" s="318">
        <v>0</v>
      </c>
      <c r="BD20" s="318">
        <v>0</v>
      </c>
      <c r="BE20" s="318">
        <f t="shared" si="22"/>
        <v>0</v>
      </c>
    </row>
    <row r="21" spans="2:77">
      <c r="B21" s="46" t="s">
        <v>1705</v>
      </c>
      <c r="C21" s="836"/>
      <c r="D21" s="836"/>
      <c r="E21" s="836"/>
      <c r="F21" s="69"/>
      <c r="G21" s="836"/>
      <c r="H21" s="836"/>
      <c r="I21" s="836"/>
      <c r="J21" s="69"/>
      <c r="K21" s="836"/>
      <c r="L21" s="836"/>
      <c r="M21" s="836"/>
      <c r="N21" s="69"/>
      <c r="O21" s="318"/>
      <c r="P21" s="318"/>
      <c r="Q21" s="318"/>
      <c r="S21" s="318">
        <v>0</v>
      </c>
      <c r="T21" s="318">
        <v>0</v>
      </c>
      <c r="U21" s="318">
        <f t="shared" si="9"/>
        <v>0</v>
      </c>
      <c r="W21" s="318">
        <v>508</v>
      </c>
      <c r="X21" s="318">
        <v>508</v>
      </c>
      <c r="Y21" s="318">
        <f t="shared" si="10"/>
        <v>0</v>
      </c>
      <c r="AA21" s="318">
        <v>377</v>
      </c>
      <c r="AB21" s="318">
        <v>276</v>
      </c>
      <c r="AC21" s="318">
        <f t="shared" si="11"/>
        <v>101</v>
      </c>
      <c r="AE21" s="318">
        <v>162</v>
      </c>
      <c r="AF21" s="318">
        <v>134</v>
      </c>
      <c r="AG21" s="318">
        <f t="shared" si="12"/>
        <v>28</v>
      </c>
      <c r="AI21" s="318">
        <v>104</v>
      </c>
      <c r="AJ21" s="318">
        <v>207.5</v>
      </c>
      <c r="AK21" s="318">
        <f t="shared" si="13"/>
        <v>-103.5</v>
      </c>
      <c r="AM21" s="318">
        <v>0</v>
      </c>
      <c r="AN21" s="318">
        <v>0</v>
      </c>
      <c r="AO21" s="318">
        <f t="shared" si="14"/>
        <v>0</v>
      </c>
      <c r="AQ21" s="318">
        <v>0</v>
      </c>
      <c r="AR21" s="318">
        <v>0</v>
      </c>
      <c r="AS21" s="318">
        <f t="shared" si="19"/>
        <v>0</v>
      </c>
      <c r="AU21" s="318">
        <v>0</v>
      </c>
      <c r="AV21" s="318">
        <v>0</v>
      </c>
      <c r="AW21" s="318">
        <f t="shared" si="20"/>
        <v>0</v>
      </c>
      <c r="AY21" s="318">
        <v>0</v>
      </c>
      <c r="AZ21" s="318">
        <v>0</v>
      </c>
      <c r="BA21" s="318">
        <f t="shared" si="21"/>
        <v>0</v>
      </c>
      <c r="BC21" s="318">
        <v>0</v>
      </c>
      <c r="BD21" s="318">
        <v>0</v>
      </c>
      <c r="BE21" s="318">
        <f t="shared" si="22"/>
        <v>0</v>
      </c>
      <c r="BI21">
        <f>SUM(BI8:BI19)</f>
        <v>1780.8999999999999</v>
      </c>
      <c r="BK21" t="s">
        <v>2402</v>
      </c>
      <c r="BN21" s="1392">
        <v>26.8</v>
      </c>
      <c r="BO21" s="1392">
        <v>25.54</v>
      </c>
      <c r="BP21" s="1392">
        <v>25.29</v>
      </c>
      <c r="BQ21" s="1392">
        <v>24.3</v>
      </c>
      <c r="BR21" s="1392">
        <v>23.4</v>
      </c>
      <c r="BS21" s="1392">
        <v>22.5</v>
      </c>
    </row>
    <row r="22" spans="2:77" hidden="1">
      <c r="B22" s="46" t="s">
        <v>861</v>
      </c>
      <c r="C22" s="836"/>
      <c r="D22" s="836"/>
      <c r="E22" s="836"/>
      <c r="F22" s="69"/>
      <c r="G22" s="836"/>
      <c r="H22" s="836"/>
      <c r="I22" s="836"/>
      <c r="J22" s="69"/>
      <c r="K22" s="836"/>
      <c r="L22" s="836"/>
      <c r="M22" s="836"/>
      <c r="N22" s="69"/>
      <c r="O22" s="318"/>
      <c r="P22" s="318"/>
      <c r="Q22" s="318"/>
      <c r="S22" s="836"/>
      <c r="T22" s="836"/>
      <c r="U22" s="836"/>
      <c r="W22" s="836"/>
      <c r="X22" s="836"/>
      <c r="Y22" s="836"/>
      <c r="AA22" s="836"/>
      <c r="AB22" s="836"/>
      <c r="AC22" s="836"/>
      <c r="AE22" s="836"/>
      <c r="AF22" s="836"/>
      <c r="AG22" s="836"/>
      <c r="AI22" s="318">
        <v>266.2</v>
      </c>
      <c r="AJ22" s="318">
        <v>189.3</v>
      </c>
      <c r="AK22" s="318">
        <f t="shared" si="13"/>
        <v>76.899999999999977</v>
      </c>
      <c r="AM22" s="318">
        <v>0</v>
      </c>
      <c r="AN22" s="318">
        <v>0</v>
      </c>
      <c r="AO22" s="318">
        <f t="shared" si="14"/>
        <v>0</v>
      </c>
      <c r="AQ22" s="318">
        <v>0</v>
      </c>
      <c r="AR22" s="318">
        <v>0</v>
      </c>
      <c r="AS22" s="318">
        <f t="shared" si="19"/>
        <v>0</v>
      </c>
      <c r="AU22" s="318">
        <v>0</v>
      </c>
      <c r="AV22" s="318">
        <v>0</v>
      </c>
      <c r="AW22" s="318">
        <f t="shared" si="20"/>
        <v>0</v>
      </c>
      <c r="AY22" s="318">
        <v>0</v>
      </c>
      <c r="AZ22" s="318">
        <v>0</v>
      </c>
      <c r="BA22" s="318">
        <f t="shared" si="21"/>
        <v>0</v>
      </c>
      <c r="BC22" s="318">
        <v>0</v>
      </c>
      <c r="BD22" s="318">
        <v>0</v>
      </c>
      <c r="BE22" s="318">
        <f t="shared" si="22"/>
        <v>0</v>
      </c>
    </row>
    <row r="23" spans="2:77">
      <c r="B23" s="46" t="s">
        <v>6</v>
      </c>
      <c r="C23" s="318">
        <v>0</v>
      </c>
      <c r="D23" s="318">
        <v>0</v>
      </c>
      <c r="E23" s="318">
        <f t="shared" ref="E23:E24" si="24">+C23-D23</f>
        <v>0</v>
      </c>
      <c r="F23" s="69"/>
      <c r="G23" s="318">
        <v>125.6</v>
      </c>
      <c r="H23" s="318">
        <v>125.6</v>
      </c>
      <c r="I23" s="318">
        <f t="shared" ref="I23:I24" si="25">+G23-H23</f>
        <v>0</v>
      </c>
      <c r="J23" s="69"/>
      <c r="K23" s="318">
        <v>172</v>
      </c>
      <c r="L23" s="318">
        <v>172</v>
      </c>
      <c r="M23" s="318">
        <f t="shared" si="7"/>
        <v>0</v>
      </c>
      <c r="N23" s="69"/>
      <c r="O23" s="318"/>
      <c r="P23" s="318"/>
      <c r="Q23" s="318"/>
      <c r="S23" s="318">
        <v>143</v>
      </c>
      <c r="T23" s="318">
        <v>143</v>
      </c>
      <c r="U23" s="318">
        <f t="shared" si="9"/>
        <v>0</v>
      </c>
      <c r="W23" s="318">
        <v>149</v>
      </c>
      <c r="X23" s="318">
        <v>149</v>
      </c>
      <c r="Y23" s="318">
        <f t="shared" si="10"/>
        <v>0</v>
      </c>
      <c r="AA23" s="318">
        <v>125</v>
      </c>
      <c r="AB23" s="318">
        <v>125</v>
      </c>
      <c r="AC23" s="318">
        <f t="shared" si="11"/>
        <v>0</v>
      </c>
      <c r="AE23" s="318">
        <v>124</v>
      </c>
      <c r="AF23" s="318">
        <v>124</v>
      </c>
      <c r="AG23" s="318">
        <f t="shared" si="12"/>
        <v>0</v>
      </c>
      <c r="AI23" s="318">
        <v>0</v>
      </c>
      <c r="AJ23" s="318">
        <v>0</v>
      </c>
      <c r="AK23" s="318">
        <f t="shared" si="13"/>
        <v>0</v>
      </c>
      <c r="AM23" s="318">
        <v>0</v>
      </c>
      <c r="AN23" s="318">
        <v>0</v>
      </c>
      <c r="AO23" s="318">
        <f t="shared" si="14"/>
        <v>0</v>
      </c>
      <c r="AQ23" s="318">
        <v>0</v>
      </c>
      <c r="AR23" s="318">
        <v>0</v>
      </c>
      <c r="AS23" s="318">
        <f t="shared" si="19"/>
        <v>0</v>
      </c>
      <c r="AU23" s="318">
        <v>0</v>
      </c>
      <c r="AV23" s="318">
        <v>0</v>
      </c>
      <c r="AW23" s="318">
        <f t="shared" si="20"/>
        <v>0</v>
      </c>
      <c r="AY23" s="318">
        <v>0</v>
      </c>
      <c r="AZ23" s="318">
        <v>0</v>
      </c>
      <c r="BA23" s="318">
        <f t="shared" si="21"/>
        <v>0</v>
      </c>
      <c r="BC23" s="318">
        <v>0</v>
      </c>
      <c r="BD23" s="318">
        <v>0</v>
      </c>
      <c r="BE23" s="318">
        <f t="shared" si="22"/>
        <v>0</v>
      </c>
    </row>
    <row r="24" spans="2:77">
      <c r="B24" s="46" t="s">
        <v>856</v>
      </c>
      <c r="C24" s="318">
        <v>0</v>
      </c>
      <c r="D24" s="318">
        <v>0</v>
      </c>
      <c r="E24" s="318">
        <f t="shared" si="24"/>
        <v>0</v>
      </c>
      <c r="F24" s="69"/>
      <c r="G24" s="318">
        <v>0</v>
      </c>
      <c r="H24" s="318">
        <v>0</v>
      </c>
      <c r="I24" s="318">
        <f t="shared" si="25"/>
        <v>0</v>
      </c>
      <c r="J24" s="69"/>
      <c r="K24" s="318">
        <v>72</v>
      </c>
      <c r="L24" s="318">
        <v>80</v>
      </c>
      <c r="M24" s="318">
        <f t="shared" si="7"/>
        <v>-8</v>
      </c>
      <c r="N24" s="69"/>
      <c r="O24" s="318"/>
      <c r="P24" s="318"/>
      <c r="Q24" s="318"/>
      <c r="S24" s="318">
        <v>0</v>
      </c>
      <c r="T24" s="318">
        <v>0</v>
      </c>
      <c r="U24" s="318">
        <f t="shared" si="9"/>
        <v>0</v>
      </c>
      <c r="W24" s="318">
        <v>35</v>
      </c>
      <c r="X24" s="318">
        <v>104</v>
      </c>
      <c r="Y24" s="318">
        <f t="shared" si="10"/>
        <v>-69</v>
      </c>
      <c r="AA24" s="318">
        <v>73</v>
      </c>
      <c r="AB24" s="318">
        <v>104</v>
      </c>
      <c r="AC24" s="318">
        <f t="shared" si="11"/>
        <v>-31</v>
      </c>
      <c r="AE24" s="318">
        <v>50</v>
      </c>
      <c r="AF24" s="318">
        <v>65</v>
      </c>
      <c r="AG24" s="318">
        <f t="shared" si="12"/>
        <v>-15</v>
      </c>
      <c r="AI24" s="318">
        <v>28.9</v>
      </c>
      <c r="AJ24" s="318">
        <v>115.5</v>
      </c>
      <c r="AK24" s="318">
        <f t="shared" si="13"/>
        <v>-86.6</v>
      </c>
      <c r="AM24" s="318">
        <v>0</v>
      </c>
      <c r="AN24" s="318">
        <v>0</v>
      </c>
      <c r="AO24" s="318">
        <f t="shared" si="14"/>
        <v>0</v>
      </c>
      <c r="AQ24" s="318">
        <v>0</v>
      </c>
      <c r="AR24" s="318">
        <v>0</v>
      </c>
      <c r="AS24" s="318">
        <f t="shared" si="19"/>
        <v>0</v>
      </c>
      <c r="AU24" s="318">
        <v>0</v>
      </c>
      <c r="AV24" s="318">
        <v>0</v>
      </c>
      <c r="AW24" s="318">
        <f t="shared" si="20"/>
        <v>0</v>
      </c>
      <c r="AY24" s="318">
        <v>0</v>
      </c>
      <c r="AZ24" s="318">
        <v>0</v>
      </c>
      <c r="BA24" s="318">
        <f t="shared" si="21"/>
        <v>0</v>
      </c>
      <c r="BC24" s="318">
        <v>0</v>
      </c>
      <c r="BD24" s="318">
        <v>0</v>
      </c>
      <c r="BE24" s="318">
        <f t="shared" si="22"/>
        <v>0</v>
      </c>
      <c r="BQ24">
        <f>+BQ12/24.3</f>
        <v>19.506172839506171</v>
      </c>
    </row>
    <row r="25" spans="2:77" hidden="1">
      <c r="B25" s="46" t="s">
        <v>220</v>
      </c>
      <c r="C25" s="836"/>
      <c r="D25" s="836"/>
      <c r="E25" s="836"/>
      <c r="F25" s="69"/>
      <c r="G25" s="836"/>
      <c r="H25" s="836"/>
      <c r="I25" s="836"/>
      <c r="J25" s="69"/>
      <c r="K25" s="836"/>
      <c r="L25" s="836"/>
      <c r="M25" s="836"/>
      <c r="N25" s="69"/>
      <c r="O25" s="318"/>
      <c r="P25" s="318"/>
      <c r="Q25" s="318"/>
      <c r="S25" s="836"/>
      <c r="T25" s="836"/>
      <c r="U25" s="836"/>
      <c r="W25" s="836"/>
      <c r="X25" s="836"/>
      <c r="Y25" s="836"/>
      <c r="AA25" s="836"/>
      <c r="AB25" s="836"/>
      <c r="AC25" s="836"/>
      <c r="AE25" s="318">
        <v>44</v>
      </c>
      <c r="AF25" s="318">
        <v>58</v>
      </c>
      <c r="AG25" s="318">
        <f t="shared" si="12"/>
        <v>-14</v>
      </c>
      <c r="AI25" s="318">
        <v>0</v>
      </c>
      <c r="AJ25" s="318">
        <v>0</v>
      </c>
      <c r="AK25" s="318">
        <f t="shared" si="13"/>
        <v>0</v>
      </c>
      <c r="AM25" s="318">
        <v>0</v>
      </c>
      <c r="AN25" s="318">
        <v>0</v>
      </c>
      <c r="AO25" s="318">
        <f t="shared" si="14"/>
        <v>0</v>
      </c>
      <c r="AQ25" s="318">
        <v>0</v>
      </c>
      <c r="AR25" s="318">
        <v>0</v>
      </c>
      <c r="AS25" s="318">
        <f t="shared" si="19"/>
        <v>0</v>
      </c>
      <c r="AU25" s="318">
        <v>0</v>
      </c>
      <c r="AV25" s="318">
        <v>0</v>
      </c>
      <c r="AW25" s="318">
        <f t="shared" si="20"/>
        <v>0</v>
      </c>
      <c r="AY25" s="318">
        <v>0</v>
      </c>
      <c r="AZ25" s="318">
        <v>0</v>
      </c>
      <c r="BA25" s="318">
        <f t="shared" ref="BA25" si="26">+AY25-AZ25</f>
        <v>0</v>
      </c>
      <c r="BC25" s="318">
        <v>0</v>
      </c>
      <c r="BD25" s="318">
        <v>0</v>
      </c>
      <c r="BE25" s="318">
        <f t="shared" si="22"/>
        <v>0</v>
      </c>
    </row>
    <row r="26" spans="2:77">
      <c r="B26" s="46" t="s">
        <v>7</v>
      </c>
      <c r="C26" s="836"/>
      <c r="D26" s="836"/>
      <c r="E26" s="836"/>
      <c r="F26" s="69"/>
      <c r="G26" s="836"/>
      <c r="H26" s="836"/>
      <c r="I26" s="836"/>
      <c r="J26" s="69"/>
      <c r="K26" s="836"/>
      <c r="L26" s="836"/>
      <c r="M26" s="836"/>
      <c r="N26" s="69"/>
      <c r="O26" s="318">
        <v>351.8</v>
      </c>
      <c r="P26" s="318">
        <v>277.89999999999998</v>
      </c>
      <c r="Q26" s="318">
        <f t="shared" si="8"/>
        <v>73.900000000000034</v>
      </c>
      <c r="S26" s="318">
        <v>492</v>
      </c>
      <c r="T26" s="318">
        <v>292</v>
      </c>
      <c r="U26" s="318">
        <f t="shared" si="9"/>
        <v>200</v>
      </c>
      <c r="W26" s="318">
        <v>423</v>
      </c>
      <c r="X26" s="318">
        <v>305</v>
      </c>
      <c r="Y26" s="318">
        <f t="shared" si="10"/>
        <v>118</v>
      </c>
      <c r="AA26" s="836"/>
      <c r="AB26" s="836"/>
      <c r="AC26" s="836"/>
      <c r="AE26" s="836"/>
      <c r="AF26" s="836"/>
      <c r="AG26" s="836"/>
      <c r="AI26" s="318">
        <v>0</v>
      </c>
      <c r="AJ26" s="318">
        <v>0</v>
      </c>
      <c r="AK26" s="318">
        <f t="shared" si="13"/>
        <v>0</v>
      </c>
      <c r="AM26" s="318">
        <v>0</v>
      </c>
      <c r="AN26" s="318">
        <v>0</v>
      </c>
      <c r="AO26" s="318">
        <f t="shared" si="14"/>
        <v>0</v>
      </c>
      <c r="AQ26" s="318">
        <v>0</v>
      </c>
      <c r="AR26" s="318">
        <v>0</v>
      </c>
      <c r="AS26" s="318">
        <f t="shared" si="15"/>
        <v>0</v>
      </c>
      <c r="AU26" s="318">
        <v>0</v>
      </c>
      <c r="AV26" s="318">
        <v>0</v>
      </c>
      <c r="AW26" s="318">
        <f t="shared" si="16"/>
        <v>0</v>
      </c>
      <c r="AY26" s="318">
        <v>0</v>
      </c>
      <c r="AZ26" s="318">
        <v>0</v>
      </c>
      <c r="BA26" s="318">
        <f t="shared" si="17"/>
        <v>0</v>
      </c>
      <c r="BC26" s="318">
        <v>0</v>
      </c>
      <c r="BD26" s="318">
        <v>0</v>
      </c>
      <c r="BE26" s="318">
        <f t="shared" si="18"/>
        <v>0</v>
      </c>
    </row>
    <row r="27" spans="2:77">
      <c r="B27" s="46" t="s">
        <v>1090</v>
      </c>
      <c r="C27" s="318">
        <v>2519</v>
      </c>
      <c r="D27" s="318">
        <v>2717.8</v>
      </c>
      <c r="E27" s="318">
        <f t="shared" ref="E27" si="27">+C27-D27</f>
        <v>-198.80000000000018</v>
      </c>
      <c r="F27" s="69"/>
      <c r="G27" s="318">
        <f>+G28-G14-G15-G16-G17-G18-G19-G23</f>
        <v>1290.5000000000007</v>
      </c>
      <c r="H27" s="318">
        <f>+H28-H14-H15-H16-H17-H18-H19-H23</f>
        <v>1307.1999999999998</v>
      </c>
      <c r="I27" s="318">
        <f t="shared" ref="I27" si="28">+G27-H27</f>
        <v>-16.699999999999136</v>
      </c>
      <c r="J27" s="69"/>
      <c r="K27" s="318">
        <v>1239</v>
      </c>
      <c r="L27" s="318">
        <v>1071</v>
      </c>
      <c r="M27" s="318">
        <f t="shared" si="7"/>
        <v>168</v>
      </c>
      <c r="N27" s="69"/>
      <c r="O27" s="318">
        <v>2034.8</v>
      </c>
      <c r="P27" s="318">
        <v>1961.5</v>
      </c>
      <c r="Q27" s="318">
        <f t="shared" si="8"/>
        <v>73.299999999999955</v>
      </c>
      <c r="S27" s="318">
        <v>805</v>
      </c>
      <c r="T27" s="318">
        <v>792</v>
      </c>
      <c r="U27" s="318">
        <f t="shared" si="9"/>
        <v>13</v>
      </c>
      <c r="W27" s="318">
        <v>284</v>
      </c>
      <c r="X27" s="318">
        <v>285</v>
      </c>
      <c r="Y27" s="318">
        <f t="shared" si="10"/>
        <v>-1</v>
      </c>
      <c r="AA27" s="318">
        <v>391</v>
      </c>
      <c r="AB27" s="318">
        <v>357</v>
      </c>
      <c r="AC27" s="318">
        <f t="shared" si="11"/>
        <v>34</v>
      </c>
      <c r="AE27" s="318">
        <v>192</v>
      </c>
      <c r="AF27" s="318">
        <v>207</v>
      </c>
      <c r="AG27" s="318">
        <f t="shared" si="12"/>
        <v>-15</v>
      </c>
      <c r="AI27" s="318">
        <v>0</v>
      </c>
      <c r="AJ27" s="318">
        <v>0</v>
      </c>
      <c r="AK27" s="318">
        <f t="shared" si="13"/>
        <v>0</v>
      </c>
      <c r="AM27" s="318">
        <f>+AM28-AM14-AM15-AM16-AM17-AM19-AM20-AM21-AM22-AM23-AM24-AM25-AM26</f>
        <v>1834.4</v>
      </c>
      <c r="AN27" s="318">
        <f>+AN28-AN14-AN15-AN16-AN17-AN19-AN20-AN21-AN22-AN23-AN24-AN25-AN26</f>
        <v>1801.8</v>
      </c>
      <c r="AO27" s="318">
        <f t="shared" si="14"/>
        <v>32.600000000000136</v>
      </c>
      <c r="AQ27" s="318">
        <v>0</v>
      </c>
      <c r="AR27" s="318">
        <v>0</v>
      </c>
      <c r="AS27" s="318">
        <f t="shared" si="15"/>
        <v>0</v>
      </c>
      <c r="AU27" s="318">
        <v>0</v>
      </c>
      <c r="AV27" s="318">
        <v>0</v>
      </c>
      <c r="AW27" s="318">
        <f t="shared" si="16"/>
        <v>0</v>
      </c>
      <c r="AY27" s="318">
        <v>0</v>
      </c>
      <c r="AZ27" s="318">
        <v>0</v>
      </c>
      <c r="BA27" s="318">
        <f t="shared" si="17"/>
        <v>0</v>
      </c>
      <c r="BC27" s="318">
        <v>0</v>
      </c>
      <c r="BD27" s="318">
        <v>0</v>
      </c>
      <c r="BE27" s="318">
        <f t="shared" si="18"/>
        <v>0</v>
      </c>
      <c r="BN27" s="53">
        <f>+BN10-BM10</f>
        <v>1008</v>
      </c>
    </row>
    <row r="28" spans="2:77" s="11" customFormat="1">
      <c r="B28" s="1399" t="s">
        <v>19</v>
      </c>
      <c r="C28" s="793">
        <f>SUM(C14:C27)</f>
        <v>10834.5</v>
      </c>
      <c r="D28" s="793">
        <f>SUM(D14:D27)</f>
        <v>7605.5000000000009</v>
      </c>
      <c r="E28" s="793">
        <f>+C28-D28</f>
        <v>3228.9999999999991</v>
      </c>
      <c r="F28" s="2049"/>
      <c r="G28" s="793">
        <v>9913.7000000000007</v>
      </c>
      <c r="H28" s="793">
        <v>7456.9</v>
      </c>
      <c r="I28" s="793">
        <v>2456.8000000000002</v>
      </c>
      <c r="J28" s="2049"/>
      <c r="K28" s="793">
        <f>SUM(K14:K27)</f>
        <v>7383.1</v>
      </c>
      <c r="L28" s="793">
        <f>SUM(L14:L27)</f>
        <v>6603.7</v>
      </c>
      <c r="M28" s="793">
        <f>SUM(M14:M27)</f>
        <v>779.39999999999986</v>
      </c>
      <c r="N28" s="634"/>
      <c r="O28" s="793">
        <f>SUM(O14:O27)</f>
        <v>7545.0000000000009</v>
      </c>
      <c r="P28" s="793">
        <f>SUM(P14:P27)</f>
        <v>6730.5999999999995</v>
      </c>
      <c r="Q28" s="793">
        <f>SUM(Q14:Q27)</f>
        <v>814.40000000000009</v>
      </c>
      <c r="S28" s="793">
        <f>SUM(S14:S27)</f>
        <v>6811.7999999999993</v>
      </c>
      <c r="T28" s="793">
        <f>SUM(T14:T27)</f>
        <v>6207.6</v>
      </c>
      <c r="U28" s="793">
        <f t="shared" si="9"/>
        <v>604.19999999999891</v>
      </c>
      <c r="W28" s="793">
        <v>5675</v>
      </c>
      <c r="X28" s="793">
        <f>SUM(X14:X27)</f>
        <v>5407</v>
      </c>
      <c r="Y28" s="793">
        <f t="shared" si="10"/>
        <v>268</v>
      </c>
      <c r="AA28" s="793">
        <v>4542</v>
      </c>
      <c r="AB28" s="793">
        <v>4117</v>
      </c>
      <c r="AC28" s="793">
        <f t="shared" si="11"/>
        <v>425</v>
      </c>
      <c r="AE28" s="793">
        <f>SUM(AE14:AE27)</f>
        <v>3303.2</v>
      </c>
      <c r="AF28" s="793">
        <f>SUM(AF14:AF27)</f>
        <v>3761.1000000000004</v>
      </c>
      <c r="AG28" s="793">
        <f t="shared" si="12"/>
        <v>-457.90000000000055</v>
      </c>
      <c r="AI28" s="793">
        <f>SUM(AI14:AI27)</f>
        <v>2127.8000000000002</v>
      </c>
      <c r="AJ28" s="793">
        <f>SUM(AJ14:AJ27)</f>
        <v>2190.9</v>
      </c>
      <c r="AK28" s="793">
        <f t="shared" si="13"/>
        <v>-63.099999999999909</v>
      </c>
      <c r="AM28" s="793">
        <v>1834.4</v>
      </c>
      <c r="AN28" s="793">
        <v>1801.8</v>
      </c>
      <c r="AO28" s="793">
        <f t="shared" si="14"/>
        <v>32.600000000000136</v>
      </c>
      <c r="AQ28" s="793">
        <v>2041.2</v>
      </c>
      <c r="AR28" s="793">
        <v>1776</v>
      </c>
      <c r="AS28" s="793">
        <f t="shared" si="15"/>
        <v>265.20000000000005</v>
      </c>
      <c r="AU28" s="793">
        <v>1440.6</v>
      </c>
      <c r="AV28" s="793">
        <v>1452.5</v>
      </c>
      <c r="AW28" s="793">
        <f t="shared" si="16"/>
        <v>-11.900000000000091</v>
      </c>
      <c r="AY28" s="793">
        <v>1280.5999999999999</v>
      </c>
      <c r="AZ28" s="793">
        <v>1406.5</v>
      </c>
      <c r="BA28" s="793">
        <f t="shared" si="17"/>
        <v>-125.90000000000009</v>
      </c>
      <c r="BC28" s="793">
        <v>1397.2</v>
      </c>
      <c r="BD28" s="793">
        <v>1178.0999999999999</v>
      </c>
      <c r="BE28" s="793">
        <f t="shared" si="18"/>
        <v>219.10000000000014</v>
      </c>
      <c r="BN28" s="11">
        <f>+BN12/BN21</f>
        <v>37.611940298507463</v>
      </c>
    </row>
    <row r="29" spans="2:77" ht="10" customHeight="1">
      <c r="S29" s="53"/>
      <c r="T29" s="53"/>
      <c r="U29" s="53"/>
      <c r="W29" s="53"/>
      <c r="X29" s="53"/>
      <c r="Y29" s="53"/>
      <c r="AA29" s="53"/>
      <c r="AB29" s="53"/>
      <c r="AC29" s="53"/>
      <c r="AE29" s="53"/>
      <c r="AF29" s="53"/>
      <c r="AG29" s="53"/>
      <c r="AI29" s="53"/>
      <c r="AJ29" s="53"/>
      <c r="AK29" s="53"/>
      <c r="AM29" s="53"/>
      <c r="AN29" s="53"/>
      <c r="AO29" s="53"/>
      <c r="AQ29" s="53"/>
      <c r="AR29" s="53"/>
      <c r="AS29" s="53"/>
      <c r="AU29" s="53"/>
      <c r="AV29" s="53"/>
      <c r="AW29" s="53"/>
      <c r="AY29" s="53"/>
      <c r="AZ29" s="53"/>
      <c r="BA29" s="53"/>
      <c r="BC29" s="53"/>
      <c r="BD29" s="53"/>
      <c r="BE29" s="53"/>
    </row>
    <row r="30" spans="2:77">
      <c r="B30" s="11" t="s">
        <v>1671</v>
      </c>
      <c r="F30" s="11"/>
      <c r="J30" s="11"/>
      <c r="N30" s="11"/>
      <c r="S30" s="53"/>
      <c r="T30" s="53"/>
      <c r="U30" s="53"/>
      <c r="W30" s="53"/>
      <c r="X30" s="53"/>
      <c r="Y30" s="53"/>
      <c r="AA30" s="53"/>
      <c r="AB30" s="53"/>
      <c r="AC30" s="53"/>
      <c r="AE30" s="53"/>
      <c r="AF30" s="53"/>
      <c r="AG30" s="53"/>
      <c r="AI30" s="53"/>
      <c r="AJ30" s="53"/>
      <c r="AK30" s="53"/>
      <c r="AM30" s="53"/>
      <c r="AN30" s="53"/>
      <c r="AO30" s="53"/>
      <c r="AQ30" s="53"/>
      <c r="AR30" s="53"/>
      <c r="AS30" s="53"/>
      <c r="AU30" s="53"/>
      <c r="AV30" s="53"/>
      <c r="AW30" s="53"/>
      <c r="AY30" s="53"/>
      <c r="AZ30" s="53"/>
      <c r="BA30" s="53"/>
      <c r="BC30" s="53"/>
      <c r="BD30" s="53"/>
      <c r="BE30" s="53"/>
    </row>
    <row r="31" spans="2:77">
      <c r="B31" s="46" t="s">
        <v>3</v>
      </c>
      <c r="C31" s="318">
        <v>923</v>
      </c>
      <c r="D31" s="318">
        <v>614.20000000000005</v>
      </c>
      <c r="E31" s="318">
        <f>+C31-D31</f>
        <v>308.79999999999995</v>
      </c>
      <c r="F31" s="69"/>
      <c r="G31" s="318">
        <v>973.1</v>
      </c>
      <c r="H31" s="318">
        <v>724.5</v>
      </c>
      <c r="I31" s="318">
        <v>248.6</v>
      </c>
      <c r="J31" s="69"/>
      <c r="K31" s="318">
        <v>911</v>
      </c>
      <c r="L31" s="318">
        <v>679</v>
      </c>
      <c r="M31" s="318">
        <f>+K31-L31</f>
        <v>232</v>
      </c>
      <c r="N31" s="69"/>
      <c r="O31" s="318">
        <v>826.2</v>
      </c>
      <c r="P31" s="318">
        <v>730.4</v>
      </c>
      <c r="Q31" s="318">
        <f>+O31-P31</f>
        <v>95.800000000000068</v>
      </c>
      <c r="S31" s="318">
        <v>875.2</v>
      </c>
      <c r="T31" s="318">
        <v>758.3</v>
      </c>
      <c r="U31" s="318">
        <f>+S31-T31</f>
        <v>116.90000000000009</v>
      </c>
      <c r="W31" s="318">
        <v>585.29999999999995</v>
      </c>
      <c r="X31" s="318">
        <v>517</v>
      </c>
      <c r="Y31" s="318">
        <f>+W31-X31</f>
        <v>68.299999999999955</v>
      </c>
      <c r="AA31" s="318">
        <v>535</v>
      </c>
      <c r="AB31" s="318">
        <v>444.1</v>
      </c>
      <c r="AC31" s="318">
        <f>+AA31-AB31</f>
        <v>90.899999999999977</v>
      </c>
      <c r="AE31" s="318">
        <v>402.4</v>
      </c>
      <c r="AF31" s="318">
        <v>405</v>
      </c>
      <c r="AG31" s="318">
        <f>+AE31-AF31</f>
        <v>-2.6000000000000227</v>
      </c>
      <c r="AI31" s="318">
        <v>0</v>
      </c>
      <c r="AJ31" s="318">
        <v>0</v>
      </c>
      <c r="AK31" s="318">
        <f>+AI31-AJ31</f>
        <v>0</v>
      </c>
      <c r="AM31" s="318">
        <v>658.4</v>
      </c>
      <c r="AN31" s="318">
        <v>520.70000000000005</v>
      </c>
      <c r="AO31" s="318">
        <f>+AM31-AN31</f>
        <v>137.69999999999993</v>
      </c>
      <c r="AQ31" s="318">
        <v>666.4</v>
      </c>
      <c r="AR31" s="318">
        <v>448.4</v>
      </c>
      <c r="AS31" s="318">
        <f>+AQ31-AR31</f>
        <v>218</v>
      </c>
      <c r="AU31" s="318">
        <v>355.7</v>
      </c>
      <c r="AV31" s="318">
        <v>290.39999999999998</v>
      </c>
      <c r="AW31" s="318">
        <f>+AU31-AV31</f>
        <v>65.300000000000011</v>
      </c>
      <c r="AY31" s="318">
        <v>0</v>
      </c>
      <c r="AZ31" s="318">
        <v>0</v>
      </c>
      <c r="BA31" s="318">
        <f>+AY31-AZ31</f>
        <v>0</v>
      </c>
      <c r="BC31" s="318">
        <v>0</v>
      </c>
      <c r="BD31" s="318">
        <v>0</v>
      </c>
      <c r="BE31" s="318">
        <f>+BC31-BD31</f>
        <v>0</v>
      </c>
    </row>
    <row r="32" spans="2:77">
      <c r="B32" s="208" t="s">
        <v>1703</v>
      </c>
      <c r="C32" s="405">
        <v>700</v>
      </c>
      <c r="D32" s="405">
        <v>700</v>
      </c>
      <c r="E32" s="405">
        <f>+C32-D32</f>
        <v>0</v>
      </c>
      <c r="F32" s="69"/>
      <c r="G32" s="318">
        <v>700</v>
      </c>
      <c r="H32" s="318">
        <v>700</v>
      </c>
      <c r="I32" s="318">
        <f>+G32-H32</f>
        <v>0</v>
      </c>
      <c r="J32" s="69"/>
      <c r="K32" s="318">
        <v>669</v>
      </c>
      <c r="L32" s="318">
        <v>669</v>
      </c>
      <c r="M32" s="318">
        <f>+K32-L32</f>
        <v>0</v>
      </c>
      <c r="N32" s="69"/>
      <c r="O32" s="318"/>
      <c r="P32" s="318"/>
      <c r="Q32" s="318"/>
      <c r="S32" s="318">
        <v>684</v>
      </c>
      <c r="T32" s="318">
        <v>684</v>
      </c>
      <c r="U32" s="318">
        <f>+S32-T32</f>
        <v>0</v>
      </c>
      <c r="W32" s="318">
        <v>525</v>
      </c>
      <c r="X32" s="318">
        <v>594</v>
      </c>
      <c r="Y32" s="318">
        <f>+W32-X32</f>
        <v>-69</v>
      </c>
      <c r="AA32" s="318">
        <v>317</v>
      </c>
      <c r="AB32" s="318">
        <v>489</v>
      </c>
      <c r="AC32" s="318">
        <f>+AA32-AB32</f>
        <v>-172</v>
      </c>
      <c r="AE32" s="318">
        <v>293</v>
      </c>
      <c r="AF32" s="318">
        <v>486</v>
      </c>
      <c r="AG32" s="318">
        <f>+AE32-AF32</f>
        <v>-193</v>
      </c>
      <c r="AI32" s="318">
        <v>0</v>
      </c>
      <c r="AJ32" s="318">
        <v>0</v>
      </c>
      <c r="AK32" s="318">
        <f>+AI32-AJ32</f>
        <v>0</v>
      </c>
      <c r="AM32" s="318">
        <v>508.5</v>
      </c>
      <c r="AN32" s="318">
        <v>555.79999999999995</v>
      </c>
      <c r="AO32" s="318">
        <f>+AM32-AN32</f>
        <v>-47.299999999999955</v>
      </c>
      <c r="AQ32" s="318">
        <v>486.3</v>
      </c>
      <c r="AR32" s="318">
        <v>519.5</v>
      </c>
      <c r="AS32" s="318">
        <f>+AQ32-AR32</f>
        <v>-33.199999999999989</v>
      </c>
      <c r="AU32" s="318">
        <v>433.9</v>
      </c>
      <c r="AV32" s="318">
        <v>454.9</v>
      </c>
      <c r="AW32" s="318">
        <f>+AU32-AV32</f>
        <v>-21</v>
      </c>
      <c r="AY32" s="318">
        <v>0</v>
      </c>
      <c r="AZ32" s="318">
        <v>0</v>
      </c>
      <c r="BA32" s="318">
        <f>+AY32-AZ32</f>
        <v>0</v>
      </c>
      <c r="BC32" s="318">
        <v>0</v>
      </c>
      <c r="BD32" s="318">
        <v>0</v>
      </c>
      <c r="BE32" s="318">
        <f>+BC32-BD32</f>
        <v>0</v>
      </c>
    </row>
    <row r="33" spans="2:73">
      <c r="B33" s="208" t="s">
        <v>1624</v>
      </c>
      <c r="C33" s="405">
        <v>600</v>
      </c>
      <c r="D33" s="405">
        <v>600</v>
      </c>
      <c r="E33" s="405">
        <f>+C33-D33</f>
        <v>0</v>
      </c>
      <c r="F33" s="69"/>
      <c r="G33" s="318">
        <v>600</v>
      </c>
      <c r="H33" s="318">
        <v>600</v>
      </c>
      <c r="I33" s="318">
        <f>+G33-H33</f>
        <v>0</v>
      </c>
      <c r="J33" s="69"/>
      <c r="K33" s="318">
        <v>541</v>
      </c>
      <c r="L33" s="318">
        <v>541</v>
      </c>
      <c r="M33" s="318">
        <f>+K33-L33</f>
        <v>0</v>
      </c>
      <c r="N33" s="69"/>
      <c r="O33" s="318"/>
      <c r="P33" s="318"/>
      <c r="Q33" s="318"/>
      <c r="S33" s="836"/>
      <c r="T33" s="836"/>
      <c r="U33" s="836"/>
      <c r="W33" s="836"/>
      <c r="X33" s="836"/>
      <c r="Y33" s="836"/>
      <c r="AA33" s="836"/>
      <c r="AB33" s="836"/>
      <c r="AC33" s="836"/>
      <c r="AE33" s="836"/>
      <c r="AF33" s="836"/>
      <c r="AG33" s="836"/>
      <c r="AI33" s="318"/>
      <c r="AJ33" s="318"/>
      <c r="AK33" s="318"/>
      <c r="AM33" s="318"/>
      <c r="AN33" s="318"/>
      <c r="AO33" s="318"/>
      <c r="AQ33" s="318"/>
      <c r="AR33" s="318"/>
      <c r="AS33" s="318"/>
      <c r="AU33" s="318"/>
      <c r="AV33" s="318"/>
      <c r="AW33" s="318"/>
      <c r="AY33" s="318"/>
      <c r="AZ33" s="318"/>
      <c r="BA33" s="318"/>
      <c r="BC33" s="318"/>
      <c r="BD33" s="318"/>
      <c r="BE33" s="318"/>
    </row>
    <row r="34" spans="2:73" hidden="1">
      <c r="B34" s="208" t="s">
        <v>1701</v>
      </c>
      <c r="C34" s="405"/>
      <c r="D34" s="405"/>
      <c r="E34" s="405"/>
      <c r="F34" s="69"/>
      <c r="G34" s="836"/>
      <c r="H34" s="836"/>
      <c r="I34" s="836"/>
      <c r="J34" s="69"/>
      <c r="K34" s="836"/>
      <c r="L34" s="836"/>
      <c r="M34" s="836"/>
      <c r="N34" s="69"/>
      <c r="O34" s="318"/>
      <c r="P34" s="318"/>
      <c r="Q34" s="318"/>
      <c r="S34" s="836"/>
      <c r="T34" s="836"/>
      <c r="U34" s="836"/>
      <c r="W34" s="836"/>
      <c r="X34" s="836"/>
      <c r="Y34" s="836"/>
      <c r="AA34" s="836"/>
      <c r="AB34" s="836"/>
      <c r="AC34" s="836"/>
      <c r="AE34" s="836"/>
      <c r="AF34" s="836"/>
      <c r="AG34" s="836"/>
      <c r="AI34" s="318"/>
      <c r="AJ34" s="318"/>
      <c r="AK34" s="318"/>
      <c r="AM34" s="318">
        <v>486.9</v>
      </c>
      <c r="AN34" s="318">
        <v>523.79999999999995</v>
      </c>
      <c r="AO34" s="318">
        <f>+AM34-AN34</f>
        <v>-36.899999999999977</v>
      </c>
      <c r="AQ34" s="318">
        <v>568.6</v>
      </c>
      <c r="AR34" s="318">
        <v>573.20000000000005</v>
      </c>
      <c r="AS34" s="318">
        <f>+AQ34-AR34</f>
        <v>-4.6000000000000227</v>
      </c>
      <c r="AU34" s="318">
        <v>0</v>
      </c>
      <c r="AV34" s="318">
        <v>0</v>
      </c>
      <c r="AW34" s="318">
        <f>+AU34-AV34</f>
        <v>0</v>
      </c>
      <c r="AY34" s="318">
        <v>0</v>
      </c>
      <c r="AZ34" s="318">
        <v>0</v>
      </c>
      <c r="BA34" s="318">
        <f>+AY34-AZ34</f>
        <v>0</v>
      </c>
      <c r="BC34" s="318">
        <v>0</v>
      </c>
      <c r="BD34" s="318">
        <v>0</v>
      </c>
      <c r="BE34" s="318">
        <f>+BC34-BD34</f>
        <v>0</v>
      </c>
    </row>
    <row r="35" spans="2:73">
      <c r="B35" s="208" t="s">
        <v>172</v>
      </c>
      <c r="C35" s="405">
        <v>500</v>
      </c>
      <c r="D35" s="405">
        <v>500</v>
      </c>
      <c r="E35" s="405">
        <f>+C35-D35</f>
        <v>0</v>
      </c>
      <c r="F35" s="69"/>
      <c r="G35" s="318">
        <v>500</v>
      </c>
      <c r="H35" s="318">
        <v>500</v>
      </c>
      <c r="I35" s="318">
        <f>+G35-H35</f>
        <v>0</v>
      </c>
      <c r="J35" s="69"/>
      <c r="K35" s="318">
        <v>470</v>
      </c>
      <c r="L35" s="318">
        <v>470</v>
      </c>
      <c r="M35" s="318">
        <f>+K35-L35</f>
        <v>0</v>
      </c>
      <c r="N35" s="69"/>
      <c r="O35" s="318"/>
      <c r="P35" s="318"/>
      <c r="Q35" s="318"/>
      <c r="S35" s="318">
        <v>567</v>
      </c>
      <c r="T35" s="318">
        <v>567</v>
      </c>
      <c r="U35" s="318">
        <f>+S35-T35</f>
        <v>0</v>
      </c>
      <c r="W35" s="318">
        <v>409</v>
      </c>
      <c r="X35" s="318">
        <v>411</v>
      </c>
      <c r="Y35" s="318">
        <f>+W35-X35</f>
        <v>-2</v>
      </c>
      <c r="AA35" s="836"/>
      <c r="AB35" s="836"/>
      <c r="AC35" s="836"/>
      <c r="AE35" s="836"/>
      <c r="AF35" s="836"/>
      <c r="AG35" s="836"/>
      <c r="AI35" s="318"/>
      <c r="AJ35" s="318"/>
      <c r="AK35" s="318"/>
      <c r="AM35" s="318"/>
      <c r="AN35" s="318"/>
      <c r="AO35" s="318"/>
      <c r="AQ35" s="318"/>
      <c r="AR35" s="318"/>
      <c r="AS35" s="318"/>
      <c r="AU35" s="318"/>
      <c r="AV35" s="318"/>
      <c r="AW35" s="318"/>
      <c r="AY35" s="318"/>
      <c r="AZ35" s="318"/>
      <c r="BA35" s="318"/>
      <c r="BC35" s="318"/>
      <c r="BD35" s="318"/>
      <c r="BE35" s="318"/>
    </row>
    <row r="36" spans="2:73">
      <c r="B36" s="208" t="s">
        <v>105</v>
      </c>
      <c r="C36" s="405">
        <v>500</v>
      </c>
      <c r="D36" s="405">
        <v>500</v>
      </c>
      <c r="E36" s="405">
        <f>+C36-D36</f>
        <v>0</v>
      </c>
      <c r="F36" s="69"/>
      <c r="G36" s="318">
        <v>500</v>
      </c>
      <c r="H36" s="318">
        <v>500</v>
      </c>
      <c r="I36" s="318">
        <f>+G36-H36</f>
        <v>0</v>
      </c>
      <c r="J36" s="69"/>
      <c r="K36" s="318">
        <v>426</v>
      </c>
      <c r="L36" s="318">
        <v>426</v>
      </c>
      <c r="M36" s="318">
        <f>+K36-L36</f>
        <v>0</v>
      </c>
      <c r="N36" s="69"/>
      <c r="O36" s="318"/>
      <c r="P36" s="318"/>
      <c r="Q36" s="318"/>
      <c r="S36" s="836"/>
      <c r="T36" s="836"/>
      <c r="U36" s="836"/>
      <c r="W36" s="836"/>
      <c r="X36" s="836"/>
      <c r="Y36" s="836"/>
      <c r="AA36" s="836"/>
      <c r="AB36" s="836"/>
      <c r="AC36" s="836"/>
      <c r="AE36" s="836"/>
      <c r="AF36" s="836"/>
      <c r="AG36" s="836"/>
      <c r="AI36" s="318"/>
      <c r="AJ36" s="318"/>
      <c r="AK36" s="318"/>
      <c r="AM36" s="318"/>
      <c r="AN36" s="318"/>
      <c r="AO36" s="318"/>
      <c r="AQ36" s="318"/>
      <c r="AR36" s="318"/>
      <c r="AS36" s="318"/>
      <c r="AU36" s="318"/>
      <c r="AV36" s="318"/>
      <c r="AW36" s="318"/>
      <c r="AY36" s="318"/>
      <c r="AZ36" s="318"/>
      <c r="BA36" s="318"/>
      <c r="BC36" s="318"/>
      <c r="BD36" s="318"/>
      <c r="BE36" s="318"/>
    </row>
    <row r="37" spans="2:73">
      <c r="B37" s="208" t="s">
        <v>1135</v>
      </c>
      <c r="C37" s="405">
        <v>300</v>
      </c>
      <c r="D37" s="405">
        <v>300</v>
      </c>
      <c r="E37" s="405">
        <f>+C37-D37</f>
        <v>0</v>
      </c>
      <c r="F37" s="69"/>
      <c r="G37" s="318">
        <v>300</v>
      </c>
      <c r="H37" s="318">
        <v>300</v>
      </c>
      <c r="I37" s="318">
        <f>+G37-H37</f>
        <v>0</v>
      </c>
      <c r="J37" s="69"/>
      <c r="K37" s="318">
        <v>297</v>
      </c>
      <c r="L37" s="318">
        <v>297</v>
      </c>
      <c r="M37" s="318">
        <f>+K37-L37</f>
        <v>0</v>
      </c>
      <c r="N37" s="69"/>
      <c r="O37" s="318"/>
      <c r="P37" s="318"/>
      <c r="Q37" s="318"/>
      <c r="S37" s="318">
        <v>0</v>
      </c>
      <c r="T37" s="318">
        <v>0</v>
      </c>
      <c r="U37" s="318">
        <v>0</v>
      </c>
      <c r="W37" s="836"/>
      <c r="X37" s="836"/>
      <c r="Y37" s="836"/>
      <c r="AA37" s="836"/>
      <c r="AB37" s="836"/>
      <c r="AC37" s="836"/>
      <c r="AE37" s="836"/>
      <c r="AF37" s="836"/>
      <c r="AG37" s="836"/>
      <c r="AI37" s="318"/>
      <c r="AJ37" s="318"/>
      <c r="AK37" s="318"/>
      <c r="AM37" s="318"/>
      <c r="AN37" s="318"/>
      <c r="AO37" s="318"/>
      <c r="AQ37" s="318"/>
      <c r="AR37" s="318"/>
      <c r="AS37" s="318"/>
      <c r="AU37" s="318"/>
      <c r="AV37" s="318"/>
      <c r="AW37" s="318"/>
      <c r="AY37" s="318"/>
      <c r="AZ37" s="318"/>
      <c r="BA37" s="318"/>
      <c r="BC37" s="318"/>
      <c r="BD37" s="318"/>
      <c r="BE37" s="318"/>
    </row>
    <row r="38" spans="2:73">
      <c r="B38" s="46" t="s">
        <v>5</v>
      </c>
      <c r="C38" s="318">
        <v>278.89999999999998</v>
      </c>
      <c r="D38" s="318">
        <v>219.2</v>
      </c>
      <c r="E38" s="318">
        <v>274.5</v>
      </c>
      <c r="F38" s="69"/>
      <c r="G38" s="318">
        <v>496.9</v>
      </c>
      <c r="H38" s="318">
        <v>222.4</v>
      </c>
      <c r="I38" s="318">
        <v>274.5</v>
      </c>
      <c r="J38" s="69"/>
      <c r="K38" s="318">
        <v>688</v>
      </c>
      <c r="L38" s="318">
        <v>220</v>
      </c>
      <c r="M38" s="318">
        <f>+K38-L38</f>
        <v>468</v>
      </c>
      <c r="N38" s="69"/>
      <c r="O38" s="318">
        <v>870.1</v>
      </c>
      <c r="P38" s="318">
        <v>218</v>
      </c>
      <c r="Q38" s="318">
        <f>+O38-P38</f>
        <v>652.1</v>
      </c>
      <c r="S38" s="318">
        <v>489.5</v>
      </c>
      <c r="T38" s="318">
        <v>201.1</v>
      </c>
      <c r="U38" s="318">
        <f t="shared" ref="U38:U46" si="29">+S38-T38</f>
        <v>288.39999999999998</v>
      </c>
      <c r="W38" s="318">
        <v>292.8</v>
      </c>
      <c r="X38" s="318">
        <v>214</v>
      </c>
      <c r="Y38" s="318">
        <f t="shared" ref="Y38:Y46" si="30">+W38-X38</f>
        <v>78.800000000000011</v>
      </c>
      <c r="AA38" s="318">
        <v>259</v>
      </c>
      <c r="AB38" s="318">
        <v>254</v>
      </c>
      <c r="AC38" s="318">
        <f t="shared" ref="AC38:AC46" si="31">+AA38-AB38</f>
        <v>5</v>
      </c>
      <c r="AE38" s="318">
        <v>160</v>
      </c>
      <c r="AF38" s="318">
        <v>214.4</v>
      </c>
      <c r="AG38" s="318">
        <f t="shared" ref="AG38:AG46" si="32">+AE38-AF38</f>
        <v>-54.400000000000006</v>
      </c>
      <c r="AI38" s="318">
        <v>0</v>
      </c>
      <c r="AJ38" s="318">
        <v>0</v>
      </c>
      <c r="AK38" s="318">
        <f t="shared" ref="AK38:AK46" si="33">+AI38-AJ38</f>
        <v>0</v>
      </c>
      <c r="AM38" s="318">
        <v>826.6</v>
      </c>
      <c r="AN38" s="318">
        <v>946.4</v>
      </c>
      <c r="AO38" s="318">
        <f t="shared" ref="AO38:AO46" si="34">+AM38-AN38</f>
        <v>-119.79999999999995</v>
      </c>
      <c r="AQ38" s="318">
        <v>996.6</v>
      </c>
      <c r="AR38" s="318">
        <v>449.7</v>
      </c>
      <c r="AS38" s="318">
        <f t="shared" ref="AS38:AS46" si="35">+AQ38-AR38</f>
        <v>546.90000000000009</v>
      </c>
      <c r="AU38" s="318">
        <v>691.2</v>
      </c>
      <c r="AV38" s="318">
        <v>296.2</v>
      </c>
      <c r="AW38" s="318">
        <f t="shared" ref="AW38:AW46" si="36">+AU38-AV38</f>
        <v>395.00000000000006</v>
      </c>
      <c r="AY38" s="318">
        <v>763.1</v>
      </c>
      <c r="AZ38" s="318">
        <v>288</v>
      </c>
      <c r="BA38" s="318">
        <f t="shared" ref="BA38:BA46" si="37">+AY38-AZ38</f>
        <v>475.1</v>
      </c>
      <c r="BC38" s="318">
        <v>472.8</v>
      </c>
      <c r="BD38" s="318">
        <v>269.5</v>
      </c>
      <c r="BE38" s="318">
        <f t="shared" ref="BE38:BE44" si="38">+BC38-BD38</f>
        <v>203.3</v>
      </c>
      <c r="BK38" s="11" t="s">
        <v>2408</v>
      </c>
      <c r="BS38" s="282"/>
    </row>
    <row r="39" spans="2:73">
      <c r="B39" s="46" t="s">
        <v>1401</v>
      </c>
      <c r="C39" s="318">
        <v>0</v>
      </c>
      <c r="D39" s="318">
        <v>0</v>
      </c>
      <c r="E39" s="318">
        <f t="shared" ref="E39:E40" si="39">+C39-D39</f>
        <v>0</v>
      </c>
      <c r="F39" s="69"/>
      <c r="G39" s="318">
        <v>300</v>
      </c>
      <c r="H39" s="318">
        <v>100</v>
      </c>
      <c r="I39" s="318">
        <f t="shared" ref="I39:I40" si="40">+G39-H39</f>
        <v>200</v>
      </c>
      <c r="J39" s="69"/>
      <c r="K39" s="318">
        <v>170</v>
      </c>
      <c r="L39" s="318">
        <v>97</v>
      </c>
      <c r="M39" s="318">
        <f t="shared" ref="M39:M40" si="41">+K39-L39</f>
        <v>73</v>
      </c>
      <c r="N39" s="69"/>
      <c r="O39" s="318"/>
      <c r="P39" s="318"/>
      <c r="Q39" s="318"/>
      <c r="S39" s="318">
        <v>136</v>
      </c>
      <c r="T39" s="318">
        <v>109</v>
      </c>
      <c r="U39" s="318">
        <f t="shared" si="29"/>
        <v>27</v>
      </c>
      <c r="W39" s="318">
        <v>127</v>
      </c>
      <c r="X39" s="318">
        <v>103</v>
      </c>
      <c r="Y39" s="318">
        <f t="shared" si="30"/>
        <v>24</v>
      </c>
      <c r="AA39" s="318">
        <v>215</v>
      </c>
      <c r="AB39" s="318">
        <v>117</v>
      </c>
      <c r="AC39" s="318">
        <f t="shared" si="31"/>
        <v>98</v>
      </c>
      <c r="AE39" s="318">
        <v>161</v>
      </c>
      <c r="AF39" s="318">
        <v>115</v>
      </c>
      <c r="AG39" s="318">
        <f t="shared" si="32"/>
        <v>46</v>
      </c>
      <c r="AI39" s="318">
        <v>0</v>
      </c>
      <c r="AJ39" s="318">
        <v>0</v>
      </c>
      <c r="AK39" s="318">
        <f t="shared" si="33"/>
        <v>0</v>
      </c>
      <c r="AM39" s="318">
        <v>0</v>
      </c>
      <c r="AN39" s="318">
        <v>0</v>
      </c>
      <c r="AO39" s="318">
        <f t="shared" si="34"/>
        <v>0</v>
      </c>
      <c r="AQ39" s="318">
        <v>0</v>
      </c>
      <c r="AR39" s="318">
        <v>0</v>
      </c>
      <c r="AS39" s="318">
        <f t="shared" si="35"/>
        <v>0</v>
      </c>
      <c r="AU39" s="318">
        <v>0</v>
      </c>
      <c r="AV39" s="318">
        <v>0</v>
      </c>
      <c r="AW39" s="318">
        <f t="shared" si="36"/>
        <v>0</v>
      </c>
      <c r="AY39" s="318">
        <v>0</v>
      </c>
      <c r="AZ39" s="318">
        <v>0</v>
      </c>
      <c r="BA39" s="318">
        <f t="shared" si="37"/>
        <v>0</v>
      </c>
      <c r="BC39" s="318">
        <v>0</v>
      </c>
      <c r="BD39" s="318">
        <v>0</v>
      </c>
      <c r="BE39" s="318">
        <f t="shared" si="38"/>
        <v>0</v>
      </c>
      <c r="BK39" s="839">
        <v>46153</v>
      </c>
      <c r="BL39" s="30" t="s">
        <v>1997</v>
      </c>
      <c r="BM39" s="39">
        <v>2020</v>
      </c>
      <c r="BN39" s="39">
        <v>2021</v>
      </c>
      <c r="BO39" s="39">
        <v>2022</v>
      </c>
      <c r="BP39" s="39">
        <v>2023</v>
      </c>
      <c r="BQ39" s="305">
        <v>2024</v>
      </c>
      <c r="BR39" s="305">
        <v>2025</v>
      </c>
      <c r="BS39" s="39" t="s">
        <v>2388</v>
      </c>
      <c r="BT39" s="2129" t="s">
        <v>2406</v>
      </c>
      <c r="BU39" s="2129"/>
    </row>
    <row r="40" spans="2:73">
      <c r="B40" s="46" t="s">
        <v>65</v>
      </c>
      <c r="C40" s="318">
        <v>0</v>
      </c>
      <c r="D40" s="318">
        <v>0</v>
      </c>
      <c r="E40" s="318">
        <f t="shared" si="39"/>
        <v>0</v>
      </c>
      <c r="F40" s="69"/>
      <c r="G40" s="318">
        <v>0</v>
      </c>
      <c r="H40" s="318">
        <v>0</v>
      </c>
      <c r="I40" s="318">
        <f t="shared" si="40"/>
        <v>0</v>
      </c>
      <c r="J40" s="69"/>
      <c r="K40" s="318">
        <v>10</v>
      </c>
      <c r="L40" s="318">
        <v>82</v>
      </c>
      <c r="M40" s="318">
        <f t="shared" si="41"/>
        <v>-72</v>
      </c>
      <c r="N40" s="69"/>
      <c r="O40" s="318"/>
      <c r="P40" s="318"/>
      <c r="Q40" s="318"/>
      <c r="S40" s="318">
        <v>24</v>
      </c>
      <c r="T40" s="318">
        <v>84</v>
      </c>
      <c r="U40" s="318">
        <f t="shared" si="29"/>
        <v>-60</v>
      </c>
      <c r="W40" s="318">
        <v>42</v>
      </c>
      <c r="X40" s="318">
        <v>104</v>
      </c>
      <c r="Y40" s="318">
        <f t="shared" si="30"/>
        <v>-62</v>
      </c>
      <c r="AA40" s="318">
        <v>136</v>
      </c>
      <c r="AB40" s="318">
        <v>110</v>
      </c>
      <c r="AC40" s="318">
        <f t="shared" si="31"/>
        <v>26</v>
      </c>
      <c r="AE40" s="836"/>
      <c r="AF40" s="836"/>
      <c r="AG40" s="836"/>
      <c r="AI40" s="318"/>
      <c r="AJ40" s="318"/>
      <c r="AK40" s="318"/>
      <c r="AM40" s="318"/>
      <c r="AN40" s="318"/>
      <c r="AO40" s="318"/>
      <c r="AQ40" s="318"/>
      <c r="AR40" s="318"/>
      <c r="AS40" s="318"/>
      <c r="AU40" s="318"/>
      <c r="AV40" s="318"/>
      <c r="AW40" s="318"/>
      <c r="AY40" s="318"/>
      <c r="AZ40" s="318"/>
      <c r="BA40" s="318"/>
      <c r="BC40" s="318"/>
      <c r="BD40" s="318"/>
      <c r="BE40" s="318"/>
      <c r="BK40" s="50" t="s">
        <v>1136</v>
      </c>
      <c r="BL40" s="63"/>
      <c r="BM40" s="318">
        <v>4486</v>
      </c>
      <c r="BN40" s="318">
        <v>6246</v>
      </c>
      <c r="BO40" s="318">
        <v>7747</v>
      </c>
      <c r="BP40" s="318">
        <v>9617</v>
      </c>
      <c r="BQ40" s="318">
        <v>11583</v>
      </c>
      <c r="BR40" s="318">
        <v>11648.5</v>
      </c>
      <c r="BS40" s="318">
        <v>12820.7</v>
      </c>
      <c r="BT40" s="336">
        <f>+BS40-BM40</f>
        <v>8334.7000000000007</v>
      </c>
      <c r="BU40" s="1301">
        <f>+BT40/BM40</f>
        <v>1.857935800267499</v>
      </c>
    </row>
    <row r="41" spans="2:73">
      <c r="B41" s="46" t="s">
        <v>57</v>
      </c>
      <c r="C41" s="836"/>
      <c r="D41" s="836"/>
      <c r="E41" s="836"/>
      <c r="F41" s="69"/>
      <c r="G41" s="836"/>
      <c r="H41" s="836"/>
      <c r="I41" s="836"/>
      <c r="J41" s="69"/>
      <c r="K41" s="836"/>
      <c r="L41" s="836"/>
      <c r="M41" s="836"/>
      <c r="N41" s="69"/>
      <c r="O41" s="318"/>
      <c r="P41" s="318"/>
      <c r="Q41" s="318"/>
      <c r="S41" s="836"/>
      <c r="T41" s="836"/>
      <c r="U41" s="836"/>
      <c r="W41" s="318">
        <v>5</v>
      </c>
      <c r="X41" s="318">
        <v>71</v>
      </c>
      <c r="Y41" s="318">
        <f t="shared" si="30"/>
        <v>-66</v>
      </c>
      <c r="AA41" s="318">
        <v>64</v>
      </c>
      <c r="AB41" s="318">
        <v>190</v>
      </c>
      <c r="AC41" s="318">
        <f t="shared" si="31"/>
        <v>-126</v>
      </c>
      <c r="AE41" s="836"/>
      <c r="AF41" s="836"/>
      <c r="AG41" s="836"/>
      <c r="AI41" s="318"/>
      <c r="AJ41" s="318"/>
      <c r="AK41" s="318"/>
      <c r="AM41" s="318"/>
      <c r="AN41" s="318"/>
      <c r="AO41" s="318"/>
      <c r="AQ41" s="318"/>
      <c r="AR41" s="318"/>
      <c r="AS41" s="318"/>
      <c r="AU41" s="318"/>
      <c r="AV41" s="318"/>
      <c r="AW41" s="318"/>
      <c r="AY41" s="318"/>
      <c r="AZ41" s="318"/>
      <c r="BA41" s="318"/>
      <c r="BC41" s="318"/>
      <c r="BD41" s="318"/>
      <c r="BE41" s="318"/>
      <c r="BK41" s="50" t="s">
        <v>1137</v>
      </c>
      <c r="BL41" s="63"/>
      <c r="BM41" s="318">
        <v>5148</v>
      </c>
      <c r="BN41" s="318">
        <v>5900</v>
      </c>
      <c r="BO41" s="318">
        <v>7507</v>
      </c>
      <c r="BP41" s="318">
        <v>8611</v>
      </c>
      <c r="BQ41" s="318">
        <v>10103</v>
      </c>
      <c r="BR41" s="318">
        <v>8508.9</v>
      </c>
      <c r="BS41" s="335">
        <v>8898.9</v>
      </c>
      <c r="BT41" s="336">
        <f>+BS41-BM41</f>
        <v>3750.8999999999996</v>
      </c>
      <c r="BU41" s="1301">
        <f>+BT41/BM41</f>
        <v>0.72861305361305351</v>
      </c>
    </row>
    <row r="42" spans="2:73">
      <c r="B42" s="46" t="s">
        <v>1706</v>
      </c>
      <c r="C42" s="836"/>
      <c r="D42" s="836"/>
      <c r="E42" s="836"/>
      <c r="F42" s="69"/>
      <c r="G42" s="836"/>
      <c r="H42" s="836"/>
      <c r="I42" s="836"/>
      <c r="J42" s="69"/>
      <c r="K42" s="836"/>
      <c r="L42" s="836"/>
      <c r="M42" s="836"/>
      <c r="N42" s="69"/>
      <c r="O42" s="318"/>
      <c r="P42" s="318"/>
      <c r="Q42" s="318"/>
      <c r="S42" s="836"/>
      <c r="T42" s="836"/>
      <c r="U42" s="836"/>
      <c r="W42" s="836"/>
      <c r="X42" s="836"/>
      <c r="Y42" s="836"/>
      <c r="AA42" s="836"/>
      <c r="AB42" s="836"/>
      <c r="AC42" s="836"/>
      <c r="AE42" s="318">
        <v>57</v>
      </c>
      <c r="AF42" s="318">
        <v>57</v>
      </c>
      <c r="AG42" s="318">
        <f t="shared" si="32"/>
        <v>0</v>
      </c>
      <c r="AI42" s="318">
        <v>0</v>
      </c>
      <c r="AJ42" s="318">
        <v>0</v>
      </c>
      <c r="AK42" s="318">
        <f t="shared" si="33"/>
        <v>0</v>
      </c>
      <c r="AM42" s="318">
        <v>0</v>
      </c>
      <c r="AN42" s="318">
        <v>0</v>
      </c>
      <c r="AO42" s="318">
        <f t="shared" si="34"/>
        <v>0</v>
      </c>
      <c r="AQ42" s="318">
        <v>0</v>
      </c>
      <c r="AR42" s="318">
        <v>0</v>
      </c>
      <c r="AS42" s="318">
        <f t="shared" si="35"/>
        <v>0</v>
      </c>
      <c r="AU42" s="318">
        <v>0</v>
      </c>
      <c r="AV42" s="318">
        <v>0</v>
      </c>
      <c r="AW42" s="318">
        <f t="shared" si="36"/>
        <v>0</v>
      </c>
      <c r="AY42" s="318">
        <v>0</v>
      </c>
      <c r="AZ42" s="318">
        <v>0</v>
      </c>
      <c r="BA42" s="318">
        <f t="shared" si="37"/>
        <v>0</v>
      </c>
      <c r="BC42" s="318">
        <v>0</v>
      </c>
      <c r="BD42" s="318">
        <v>0</v>
      </c>
      <c r="BE42" s="318">
        <f t="shared" si="38"/>
        <v>0</v>
      </c>
      <c r="BK42" s="914" t="s">
        <v>1138</v>
      </c>
      <c r="BL42" s="775"/>
      <c r="BM42" s="719">
        <f t="shared" ref="BM42:BS42" si="42">+BM40-BM41</f>
        <v>-662</v>
      </c>
      <c r="BN42" s="719">
        <f t="shared" si="42"/>
        <v>346</v>
      </c>
      <c r="BO42" s="719">
        <f t="shared" si="42"/>
        <v>240</v>
      </c>
      <c r="BP42" s="719">
        <f t="shared" si="42"/>
        <v>1006</v>
      </c>
      <c r="BQ42" s="719">
        <f t="shared" si="42"/>
        <v>1480</v>
      </c>
      <c r="BR42" s="719">
        <f t="shared" si="42"/>
        <v>3139.6000000000004</v>
      </c>
      <c r="BS42" s="719">
        <f t="shared" si="42"/>
        <v>3921.8000000000011</v>
      </c>
      <c r="BT42" s="793">
        <f>+BS42-BM42</f>
        <v>4583.8000000000011</v>
      </c>
      <c r="BU42" s="829" t="s">
        <v>19</v>
      </c>
    </row>
    <row r="43" spans="2:73" hidden="1">
      <c r="B43" s="46" t="s">
        <v>243</v>
      </c>
      <c r="C43" s="836"/>
      <c r="D43" s="836"/>
      <c r="E43" s="836"/>
      <c r="F43" s="69"/>
      <c r="G43" s="836"/>
      <c r="H43" s="836"/>
      <c r="I43" s="836"/>
      <c r="J43" s="69"/>
      <c r="K43" s="836"/>
      <c r="L43" s="836"/>
      <c r="M43" s="836"/>
      <c r="N43" s="69"/>
      <c r="O43" s="318"/>
      <c r="P43" s="318"/>
      <c r="Q43" s="318"/>
      <c r="S43" s="836"/>
      <c r="T43" s="836"/>
      <c r="U43" s="836"/>
      <c r="W43" s="836"/>
      <c r="X43" s="836"/>
      <c r="Y43" s="836"/>
      <c r="AA43" s="836"/>
      <c r="AB43" s="836"/>
      <c r="AC43" s="836"/>
      <c r="AE43" s="836"/>
      <c r="AF43" s="836"/>
      <c r="AG43" s="836"/>
      <c r="AI43" s="318"/>
      <c r="AJ43" s="318"/>
      <c r="AK43" s="318"/>
      <c r="AM43" s="318">
        <v>293.3</v>
      </c>
      <c r="AN43" s="318">
        <v>358</v>
      </c>
      <c r="AO43" s="318">
        <f t="shared" si="34"/>
        <v>-64.699999999999989</v>
      </c>
      <c r="AQ43" s="318">
        <v>460.2</v>
      </c>
      <c r="AR43" s="318">
        <v>291.60000000000002</v>
      </c>
      <c r="AS43" s="318">
        <f t="shared" si="35"/>
        <v>168.59999999999997</v>
      </c>
      <c r="AU43" s="318">
        <v>0</v>
      </c>
      <c r="AV43" s="318">
        <v>0</v>
      </c>
      <c r="AW43" s="318">
        <f t="shared" si="36"/>
        <v>0</v>
      </c>
      <c r="AY43" s="318">
        <v>0</v>
      </c>
      <c r="AZ43" s="318">
        <v>0</v>
      </c>
      <c r="BA43" s="318">
        <f t="shared" si="37"/>
        <v>0</v>
      </c>
      <c r="BC43" s="318">
        <v>0</v>
      </c>
      <c r="BD43" s="318">
        <v>0</v>
      </c>
      <c r="BE43" s="318">
        <f t="shared" si="38"/>
        <v>0</v>
      </c>
      <c r="BT43" s="11"/>
      <c r="BU43" s="2048"/>
    </row>
    <row r="44" spans="2:73" hidden="1">
      <c r="B44" s="46" t="s">
        <v>263</v>
      </c>
      <c r="C44" s="836"/>
      <c r="D44" s="836"/>
      <c r="E44" s="836"/>
      <c r="F44" s="69"/>
      <c r="G44" s="836"/>
      <c r="H44" s="836"/>
      <c r="I44" s="836"/>
      <c r="J44" s="69"/>
      <c r="K44" s="836"/>
      <c r="L44" s="836"/>
      <c r="M44" s="836"/>
      <c r="N44" s="69"/>
      <c r="O44" s="318"/>
      <c r="P44" s="318"/>
      <c r="Q44" s="318"/>
      <c r="S44" s="836"/>
      <c r="T44" s="836"/>
      <c r="U44" s="836"/>
      <c r="W44" s="836"/>
      <c r="X44" s="836"/>
      <c r="Y44" s="836"/>
      <c r="AA44" s="836"/>
      <c r="AB44" s="836"/>
      <c r="AC44" s="836"/>
      <c r="AE44" s="836"/>
      <c r="AF44" s="836"/>
      <c r="AG44" s="836"/>
      <c r="AI44" s="318"/>
      <c r="AJ44" s="318"/>
      <c r="AK44" s="318"/>
      <c r="AM44" s="318">
        <v>0</v>
      </c>
      <c r="AN44" s="318">
        <v>0</v>
      </c>
      <c r="AO44" s="318">
        <f t="shared" si="34"/>
        <v>0</v>
      </c>
      <c r="AQ44" s="318">
        <v>0</v>
      </c>
      <c r="AR44" s="318">
        <v>0</v>
      </c>
      <c r="AS44" s="318">
        <f t="shared" si="35"/>
        <v>0</v>
      </c>
      <c r="AU44" s="318">
        <v>0</v>
      </c>
      <c r="AV44" s="318">
        <v>0</v>
      </c>
      <c r="AW44" s="318">
        <f t="shared" si="36"/>
        <v>0</v>
      </c>
      <c r="AY44" s="318">
        <v>0</v>
      </c>
      <c r="AZ44" s="318">
        <v>0</v>
      </c>
      <c r="BA44" s="318">
        <f t="shared" si="37"/>
        <v>0</v>
      </c>
      <c r="BC44" s="318">
        <v>245.8</v>
      </c>
      <c r="BD44" s="318">
        <v>71.400000000000006</v>
      </c>
      <c r="BE44" s="318">
        <f t="shared" si="38"/>
        <v>174.4</v>
      </c>
      <c r="BT44" s="11"/>
      <c r="BU44" s="2048"/>
    </row>
    <row r="45" spans="2:73">
      <c r="B45" s="46" t="s">
        <v>41</v>
      </c>
      <c r="C45" s="318">
        <v>784.3</v>
      </c>
      <c r="D45" s="318">
        <v>460</v>
      </c>
      <c r="E45" s="318">
        <f>+C45-D45</f>
        <v>324.29999999999995</v>
      </c>
      <c r="F45" s="69"/>
      <c r="G45" s="318">
        <v>100</v>
      </c>
      <c r="H45" s="318">
        <v>100</v>
      </c>
      <c r="I45" s="318">
        <f>+G45-H45</f>
        <v>0</v>
      </c>
      <c r="J45" s="69"/>
      <c r="K45" s="318">
        <v>18</v>
      </c>
      <c r="L45" s="318">
        <v>18</v>
      </c>
      <c r="M45" s="318">
        <f>+K45-L45</f>
        <v>0</v>
      </c>
      <c r="N45" s="69"/>
      <c r="O45" s="318">
        <v>141.80000000000001</v>
      </c>
      <c r="P45" s="318">
        <v>189.6</v>
      </c>
      <c r="Q45" s="318">
        <f>+O45-P45</f>
        <v>-47.799999999999983</v>
      </c>
      <c r="S45" s="318">
        <v>29</v>
      </c>
      <c r="T45" s="318">
        <v>0</v>
      </c>
      <c r="U45" s="318">
        <f t="shared" si="29"/>
        <v>29</v>
      </c>
      <c r="W45" s="318">
        <v>86</v>
      </c>
      <c r="X45" s="318">
        <v>86</v>
      </c>
      <c r="Y45" s="318">
        <f t="shared" si="30"/>
        <v>0</v>
      </c>
      <c r="AA45" s="318">
        <v>178</v>
      </c>
      <c r="AB45" s="318">
        <v>178</v>
      </c>
      <c r="AC45" s="318">
        <f t="shared" si="31"/>
        <v>0</v>
      </c>
      <c r="AE45" s="318">
        <v>109</v>
      </c>
      <c r="AF45" s="318">
        <v>109</v>
      </c>
      <c r="AG45" s="318">
        <f t="shared" si="32"/>
        <v>0</v>
      </c>
      <c r="AI45" s="318">
        <v>0</v>
      </c>
      <c r="AJ45" s="318">
        <v>0</v>
      </c>
      <c r="AK45" s="318">
        <f t="shared" si="33"/>
        <v>0</v>
      </c>
      <c r="AM45" s="318">
        <v>0</v>
      </c>
      <c r="AN45" s="318">
        <v>0</v>
      </c>
      <c r="AO45" s="318">
        <f t="shared" si="34"/>
        <v>0</v>
      </c>
      <c r="AQ45" s="318">
        <v>0</v>
      </c>
      <c r="AR45" s="318">
        <v>0</v>
      </c>
      <c r="AS45" s="318">
        <f t="shared" si="35"/>
        <v>0</v>
      </c>
      <c r="AU45" s="318">
        <v>0</v>
      </c>
      <c r="AV45" s="318">
        <v>0</v>
      </c>
      <c r="AW45" s="318">
        <f t="shared" si="36"/>
        <v>0</v>
      </c>
      <c r="AY45" s="318">
        <v>0</v>
      </c>
      <c r="AZ45" s="318">
        <v>0</v>
      </c>
      <c r="BA45" s="318">
        <f t="shared" si="37"/>
        <v>0</v>
      </c>
      <c r="BC45" s="318">
        <v>0</v>
      </c>
      <c r="BD45" s="318">
        <v>0</v>
      </c>
      <c r="BE45" s="318">
        <f t="shared" ref="BE45:BE46" si="43">+BC45-BD45</f>
        <v>0</v>
      </c>
      <c r="BT45" s="793">
        <f>+BT42/5.25</f>
        <v>873.10476190476209</v>
      </c>
      <c r="BU45" s="1399" t="s">
        <v>2407</v>
      </c>
    </row>
    <row r="46" spans="2:73">
      <c r="B46" s="1317" t="s">
        <v>19</v>
      </c>
      <c r="C46" s="1331">
        <f>SUM(C31:C45)</f>
        <v>4586.2</v>
      </c>
      <c r="D46" s="1331">
        <f>SUM(D31:D45)</f>
        <v>3893.3999999999996</v>
      </c>
      <c r="E46" s="1331">
        <f>+C46-D46</f>
        <v>692.80000000000018</v>
      </c>
      <c r="F46" s="2050"/>
      <c r="G46" s="1331">
        <v>4400</v>
      </c>
      <c r="H46" s="1331">
        <v>3700</v>
      </c>
      <c r="I46" s="1331">
        <v>682.8</v>
      </c>
      <c r="J46" s="2050"/>
      <c r="K46" s="1331">
        <f>SUM(K31:K45)</f>
        <v>4200</v>
      </c>
      <c r="L46" s="1331">
        <f>SUM(L31:L45)</f>
        <v>3499</v>
      </c>
      <c r="M46" s="1331">
        <f>SUM(M31:M45)</f>
        <v>701</v>
      </c>
      <c r="N46" s="634"/>
      <c r="O46" s="1331">
        <f>SUM(O31:O45)</f>
        <v>1838.1000000000001</v>
      </c>
      <c r="P46" s="1331">
        <f>SUM(P31:P45)</f>
        <v>1138</v>
      </c>
      <c r="Q46" s="1331">
        <f>SUM(Q31:Q45)</f>
        <v>700.10000000000014</v>
      </c>
      <c r="S46" s="1331">
        <f>SUM(S31:S45)</f>
        <v>2804.7</v>
      </c>
      <c r="T46" s="1331">
        <f>SUM(T31:T45)</f>
        <v>2403.4</v>
      </c>
      <c r="U46" s="1331">
        <f t="shared" si="29"/>
        <v>401.29999999999973</v>
      </c>
      <c r="W46" s="1331">
        <f>SUM(W31:W45)</f>
        <v>2072.1</v>
      </c>
      <c r="X46" s="1331">
        <f>SUM(X31:X45)</f>
        <v>2100</v>
      </c>
      <c r="Y46" s="1331">
        <f t="shared" si="30"/>
        <v>-27.900000000000091</v>
      </c>
      <c r="AA46" s="1331">
        <f>SUM(AA31:AA45)</f>
        <v>1704</v>
      </c>
      <c r="AB46" s="1331">
        <v>1783</v>
      </c>
      <c r="AC46" s="1331">
        <f t="shared" si="31"/>
        <v>-79</v>
      </c>
      <c r="AE46" s="1331">
        <f>SUM(AE31:AE45)</f>
        <v>1182.4000000000001</v>
      </c>
      <c r="AF46" s="1331">
        <f>SUM(AF31:AF45)</f>
        <v>1386.4</v>
      </c>
      <c r="AG46" s="1331">
        <f t="shared" si="32"/>
        <v>-204</v>
      </c>
      <c r="AI46" s="994">
        <v>2774</v>
      </c>
      <c r="AJ46" s="994">
        <v>2905</v>
      </c>
      <c r="AK46" s="994">
        <f t="shared" si="33"/>
        <v>-131</v>
      </c>
      <c r="AM46" s="1331">
        <f>SUM(AM31:AM45)</f>
        <v>2773.7000000000003</v>
      </c>
      <c r="AN46" s="1331">
        <f>SUM(AN31:AN45)</f>
        <v>2904.7</v>
      </c>
      <c r="AO46" s="1331">
        <f t="shared" si="34"/>
        <v>-130.99999999999955</v>
      </c>
      <c r="AQ46" s="1331">
        <f>SUM(AQ31:AQ45)</f>
        <v>3178.1</v>
      </c>
      <c r="AR46" s="1331">
        <f>SUM(AR31:AR45)</f>
        <v>2282.4</v>
      </c>
      <c r="AS46" s="1331">
        <f t="shared" si="35"/>
        <v>895.69999999999982</v>
      </c>
      <c r="AU46" s="1331">
        <f>SUM(AU31:AU45)</f>
        <v>1480.8</v>
      </c>
      <c r="AV46" s="1331">
        <f>SUM(AV31:AV45)</f>
        <v>1041.5</v>
      </c>
      <c r="AW46" s="1331">
        <f t="shared" si="36"/>
        <v>439.29999999999995</v>
      </c>
      <c r="AY46" s="1331">
        <f>SUM(AY31:AY45)</f>
        <v>763.1</v>
      </c>
      <c r="AZ46" s="1331">
        <f>SUM(AZ31:AZ45)</f>
        <v>288</v>
      </c>
      <c r="BA46" s="1331">
        <f t="shared" si="37"/>
        <v>475.1</v>
      </c>
      <c r="BC46" s="1331">
        <f>SUM(BC31:BC45)</f>
        <v>718.6</v>
      </c>
      <c r="BD46" s="1331">
        <f>SUM(BD31:BD45)</f>
        <v>340.9</v>
      </c>
      <c r="BE46" s="1331">
        <f t="shared" si="43"/>
        <v>377.70000000000005</v>
      </c>
    </row>
    <row r="47" spans="2:73" ht="10" customHeight="1">
      <c r="S47" s="53"/>
      <c r="T47" s="53"/>
      <c r="U47" s="53"/>
      <c r="W47" s="53"/>
      <c r="X47" s="53"/>
      <c r="Y47" s="53"/>
      <c r="AA47" s="53"/>
      <c r="AB47" s="53"/>
      <c r="AC47" s="53"/>
      <c r="AE47" s="53"/>
      <c r="AF47" s="53"/>
      <c r="AG47" s="53"/>
      <c r="AI47" s="53"/>
      <c r="AJ47" s="53"/>
      <c r="AK47" s="53"/>
      <c r="AM47" s="53"/>
      <c r="AN47" s="53"/>
      <c r="AO47" s="53"/>
      <c r="AQ47" s="53"/>
      <c r="AR47" s="53"/>
      <c r="AS47" s="53"/>
      <c r="AU47" s="53"/>
      <c r="AV47" s="53"/>
      <c r="AW47" s="53"/>
      <c r="AY47" s="53"/>
      <c r="AZ47" s="53"/>
      <c r="BA47" s="53"/>
      <c r="BC47" s="53"/>
      <c r="BD47" s="53"/>
      <c r="BE47" s="53"/>
    </row>
    <row r="48" spans="2:73">
      <c r="B48" s="11" t="s">
        <v>1678</v>
      </c>
      <c r="F48" s="11"/>
      <c r="J48" s="11"/>
      <c r="N48" s="11"/>
      <c r="S48" s="53"/>
      <c r="T48" s="53"/>
      <c r="U48" s="53"/>
      <c r="W48" s="53"/>
      <c r="X48" s="53"/>
      <c r="Y48" s="53"/>
      <c r="AA48" s="53"/>
      <c r="AB48" s="53"/>
      <c r="AC48" s="53"/>
      <c r="AE48" s="53"/>
      <c r="AF48" s="53"/>
      <c r="AG48" s="53"/>
      <c r="AI48" s="53"/>
      <c r="AJ48" s="53"/>
      <c r="AK48" s="53">
        <f>+AK49-AO49</f>
        <v>-95.7000000000005</v>
      </c>
      <c r="AM48" s="53"/>
      <c r="AN48" s="53"/>
      <c r="AO48" s="53">
        <f>+AO49-AS49</f>
        <v>-1259.2999999999993</v>
      </c>
      <c r="AQ48" s="53"/>
      <c r="AR48" s="53"/>
      <c r="AS48" s="53">
        <f>+AS49-AW49</f>
        <v>733.5</v>
      </c>
      <c r="AU48" s="53"/>
      <c r="AV48" s="53"/>
      <c r="AW48" s="53">
        <f>+AW49-BA49</f>
        <v>78.199999999999932</v>
      </c>
      <c r="AY48" s="53"/>
      <c r="AZ48" s="53"/>
      <c r="BA48" s="53"/>
      <c r="BC48" s="53"/>
      <c r="BD48" s="53"/>
      <c r="BE48" s="53"/>
      <c r="BT48" s="53">
        <f>+BT40-BT41</f>
        <v>4583.8000000000011</v>
      </c>
    </row>
    <row r="49" spans="2:57">
      <c r="B49" s="1167" t="s">
        <v>19</v>
      </c>
      <c r="C49" s="1359">
        <f>+C28+C46</f>
        <v>15420.7</v>
      </c>
      <c r="D49" s="1359">
        <f>+D28+D46</f>
        <v>11498.900000000001</v>
      </c>
      <c r="E49" s="1359">
        <f>+E28+E46</f>
        <v>3921.7999999999993</v>
      </c>
      <c r="F49" s="2051"/>
      <c r="G49" s="1359">
        <v>14300</v>
      </c>
      <c r="H49" s="1359">
        <v>11100</v>
      </c>
      <c r="I49" s="1359">
        <f>+I28+I46</f>
        <v>3139.6000000000004</v>
      </c>
      <c r="J49" s="2051"/>
      <c r="K49" s="1359">
        <f>+K28+K46</f>
        <v>11583.1</v>
      </c>
      <c r="L49" s="1359">
        <f>+L28+L46</f>
        <v>10102.700000000001</v>
      </c>
      <c r="M49" s="1359">
        <f>+K49-L49</f>
        <v>1480.3999999999996</v>
      </c>
      <c r="N49" s="634"/>
      <c r="O49" s="1359">
        <f>+O28+O46</f>
        <v>9383.1</v>
      </c>
      <c r="P49" s="1359">
        <f>+P28+P46</f>
        <v>7868.5999999999995</v>
      </c>
      <c r="Q49" s="1359">
        <f>+O49-P49</f>
        <v>1514.5000000000009</v>
      </c>
      <c r="S49" s="1359">
        <f>+S28+S46</f>
        <v>9616.5</v>
      </c>
      <c r="T49" s="1359">
        <f>+T28+T46</f>
        <v>8611</v>
      </c>
      <c r="U49" s="1359">
        <f>+U28+U46</f>
        <v>1005.4999999999986</v>
      </c>
      <c r="W49" s="1359">
        <f>+W28+W46</f>
        <v>7747.1</v>
      </c>
      <c r="X49" s="1359">
        <f>+X28+X46</f>
        <v>7507</v>
      </c>
      <c r="Y49" s="1359">
        <f>+Y28+Y46</f>
        <v>240.09999999999991</v>
      </c>
      <c r="AA49" s="1359">
        <f>+AA28+AA46</f>
        <v>6246</v>
      </c>
      <c r="AB49" s="1359">
        <f>+AB28+AB46</f>
        <v>5900</v>
      </c>
      <c r="AC49" s="1359">
        <f>+AC28+AC46</f>
        <v>346</v>
      </c>
      <c r="AE49" s="1359">
        <f>+AE28+AE46</f>
        <v>4485.6000000000004</v>
      </c>
      <c r="AF49" s="1359">
        <f>+AF28+AF46</f>
        <v>5147.5</v>
      </c>
      <c r="AG49" s="1359">
        <f>+AG28+AG46</f>
        <v>-661.90000000000055</v>
      </c>
      <c r="AI49" s="994">
        <f>+AI28+AI46</f>
        <v>4901.8</v>
      </c>
      <c r="AJ49" s="994">
        <f>+AJ28+AJ46</f>
        <v>5095.8999999999996</v>
      </c>
      <c r="AK49" s="994">
        <f>+AK28+AK46</f>
        <v>-194.09999999999991</v>
      </c>
      <c r="AM49" s="1359">
        <f>+AM28+AM46</f>
        <v>4608.1000000000004</v>
      </c>
      <c r="AN49" s="1359">
        <f>+AN28+AN46</f>
        <v>4706.5</v>
      </c>
      <c r="AO49" s="1359">
        <f>+AO28+AO46</f>
        <v>-98.399999999999409</v>
      </c>
      <c r="AQ49" s="1359">
        <f>+AQ28+AQ46</f>
        <v>5219.3</v>
      </c>
      <c r="AR49" s="1359">
        <f>+AR28+AR46</f>
        <v>4058.4</v>
      </c>
      <c r="AS49" s="1359">
        <f>+AS28+AS46</f>
        <v>1160.8999999999999</v>
      </c>
      <c r="AU49" s="1359">
        <f>+AU28+AU46</f>
        <v>2921.3999999999996</v>
      </c>
      <c r="AV49" s="1359">
        <f>+AV28+AV46</f>
        <v>2494</v>
      </c>
      <c r="AW49" s="1359">
        <f>+AW28+AW46</f>
        <v>427.39999999999986</v>
      </c>
      <c r="AY49" s="1359">
        <f>+AY28+AY46</f>
        <v>2043.6999999999998</v>
      </c>
      <c r="AZ49" s="1359">
        <f>+AZ28+AZ46</f>
        <v>1694.5</v>
      </c>
      <c r="BA49" s="1359">
        <f>+BA28+BA46</f>
        <v>349.19999999999993</v>
      </c>
      <c r="BC49" s="1359">
        <f>+BC28+BC46</f>
        <v>2115.8000000000002</v>
      </c>
      <c r="BD49" s="1359">
        <f>+BD28+BD46</f>
        <v>1519</v>
      </c>
      <c r="BE49" s="1359">
        <f>+BE28+BE46</f>
        <v>596.80000000000018</v>
      </c>
    </row>
    <row r="50" spans="2:57">
      <c r="B50" s="802" t="s">
        <v>1676</v>
      </c>
      <c r="C50" s="802" t="s">
        <v>19</v>
      </c>
      <c r="D50" s="917"/>
      <c r="E50" s="1426">
        <f>+E49-I49</f>
        <v>782.19999999999891</v>
      </c>
      <c r="F50" s="2052"/>
      <c r="G50" s="802" t="s">
        <v>19</v>
      </c>
      <c r="H50" s="917"/>
      <c r="I50" s="1426">
        <f>+I49-M49</f>
        <v>1659.2000000000007</v>
      </c>
      <c r="J50" s="2052"/>
      <c r="K50" s="802" t="s">
        <v>19</v>
      </c>
      <c r="L50" s="917"/>
      <c r="M50" s="1426">
        <f>+M49-U49</f>
        <v>474.900000000001</v>
      </c>
      <c r="O50" s="802"/>
      <c r="P50" s="917"/>
      <c r="Q50" s="1426">
        <f>+Q49-U49</f>
        <v>509.00000000000227</v>
      </c>
      <c r="S50" s="802"/>
      <c r="T50" s="917"/>
      <c r="U50" s="1426">
        <f>+U49-Y49</f>
        <v>765.39999999999873</v>
      </c>
      <c r="W50" s="802"/>
      <c r="X50" s="917"/>
      <c r="Y50" s="1426">
        <f>+Y49-AC49</f>
        <v>-105.90000000000009</v>
      </c>
      <c r="AA50" s="802"/>
      <c r="AB50" s="917"/>
      <c r="AC50" s="1426">
        <f>+AC49-AG49</f>
        <v>1007.9000000000005</v>
      </c>
    </row>
    <row r="51" spans="2:57">
      <c r="C51" s="802" t="s">
        <v>1107</v>
      </c>
      <c r="D51" s="917"/>
      <c r="E51" s="1426">
        <f>+E50/E5</f>
        <v>34.764444444444393</v>
      </c>
      <c r="G51" s="802" t="s">
        <v>1107</v>
      </c>
      <c r="H51" s="917"/>
      <c r="I51" s="1426">
        <f>+I50/I5</f>
        <v>70.905982905982938</v>
      </c>
      <c r="K51" s="802" t="s">
        <v>1107</v>
      </c>
      <c r="L51" s="917"/>
      <c r="M51" s="1426">
        <f>+M50/M5</f>
        <v>19.543209876543251</v>
      </c>
      <c r="O51" s="802"/>
      <c r="P51" s="917"/>
      <c r="Q51" s="1426">
        <f>+Q50/Q5</f>
        <v>22.723214285714388</v>
      </c>
      <c r="S51" s="802"/>
      <c r="T51" s="917"/>
      <c r="U51" s="1426">
        <f>+U50/U5</f>
        <v>30.252964426877419</v>
      </c>
      <c r="W51" s="802"/>
      <c r="X51" s="917"/>
      <c r="Y51" s="1426">
        <f>+Y50/Y5</f>
        <v>-4.1529411764705921</v>
      </c>
      <c r="AA51" s="802"/>
      <c r="AB51" s="917"/>
      <c r="AC51" s="1426">
        <f>+AC50/AC5</f>
        <v>37.608208955223901</v>
      </c>
      <c r="AI51" t="s">
        <v>1715</v>
      </c>
      <c r="AM51" s="1453">
        <v>700.7</v>
      </c>
      <c r="AN51" s="1453">
        <v>554</v>
      </c>
      <c r="AO51" s="1453">
        <f>+AM51-AN51</f>
        <v>146.70000000000005</v>
      </c>
      <c r="AQ51" s="1453">
        <v>783.1</v>
      </c>
      <c r="AR51" s="1453">
        <v>711</v>
      </c>
      <c r="AS51" s="1453">
        <f>+AQ51-AR51</f>
        <v>72.100000000000023</v>
      </c>
      <c r="AU51" s="1453">
        <v>1514.8</v>
      </c>
      <c r="AV51" s="1453">
        <v>940.5</v>
      </c>
      <c r="AW51" s="1453">
        <f>+AU51-AV51</f>
        <v>574.29999999999995</v>
      </c>
      <c r="AY51" s="1453">
        <v>1126</v>
      </c>
      <c r="AZ51" s="1453">
        <v>526.4</v>
      </c>
      <c r="BA51" s="1453">
        <f>+AY51-AZ51</f>
        <v>599.6</v>
      </c>
      <c r="BC51" s="1453">
        <v>673.3</v>
      </c>
      <c r="BD51" s="1453">
        <v>439.6</v>
      </c>
      <c r="BE51" s="1453">
        <f>+BC51-BD51</f>
        <v>233.69999999999993</v>
      </c>
    </row>
    <row r="52" spans="2:57" ht="10" customHeight="1">
      <c r="AM52" s="1452"/>
      <c r="AN52" s="1452"/>
      <c r="AO52" s="1452"/>
      <c r="AQ52" s="1452"/>
      <c r="AR52" s="1452"/>
      <c r="AS52" s="1452"/>
      <c r="AU52" s="1452"/>
      <c r="AV52" s="1452"/>
      <c r="AW52" s="1452"/>
      <c r="AY52" s="1452"/>
      <c r="AZ52" s="1452"/>
      <c r="BA52" s="1452"/>
      <c r="BC52" s="1452"/>
      <c r="BD52" s="1452"/>
      <c r="BE52" s="1452"/>
    </row>
    <row r="53" spans="2:57">
      <c r="B53" s="801" t="s">
        <v>1881</v>
      </c>
      <c r="C53" s="802" t="s">
        <v>19</v>
      </c>
      <c r="D53" s="917"/>
      <c r="E53" s="1426"/>
      <c r="F53" s="2052"/>
      <c r="G53" s="802" t="s">
        <v>19</v>
      </c>
      <c r="H53" s="917"/>
      <c r="I53" s="1426"/>
      <c r="J53" s="2052"/>
      <c r="K53" s="802" t="s">
        <v>19</v>
      </c>
      <c r="L53" s="917"/>
      <c r="M53" s="1426">
        <f>(+M50+U50+Y50+AC50)/4</f>
        <v>535.57500000000005</v>
      </c>
      <c r="AI53" t="s">
        <v>1716</v>
      </c>
      <c r="AM53" s="1454">
        <f>+AM28+AM46+AM51</f>
        <v>5308.8</v>
      </c>
      <c r="AN53" s="1454">
        <f>+AN28+AN46+AN51</f>
        <v>5260.5</v>
      </c>
      <c r="AO53" s="1454">
        <f>+AM53-AN53</f>
        <v>48.300000000000182</v>
      </c>
      <c r="AQ53" s="1454">
        <f>+AQ28+AQ46+AQ51</f>
        <v>6002.4000000000005</v>
      </c>
      <c r="AR53" s="1454">
        <f>+AR28+AR46+AR51</f>
        <v>4769.3999999999996</v>
      </c>
      <c r="AS53" s="1454">
        <f>+AQ53-AR53</f>
        <v>1233.0000000000009</v>
      </c>
      <c r="AU53" s="1454">
        <f>+AU28+AU46+AU51</f>
        <v>4436.2</v>
      </c>
      <c r="AV53" s="1454">
        <f>+AV28+AV46+AV51</f>
        <v>3434.5</v>
      </c>
      <c r="AW53" s="1454">
        <f>+AU53-AV53</f>
        <v>1001.6999999999998</v>
      </c>
      <c r="AY53" s="1454">
        <f>+AY28+AY46+AY51</f>
        <v>3169.7</v>
      </c>
      <c r="AZ53" s="1454">
        <f>+AZ28+AZ46+AZ51</f>
        <v>2220.9</v>
      </c>
      <c r="BA53" s="1454">
        <f>+AY53-AZ53</f>
        <v>948.79999999999973</v>
      </c>
      <c r="BC53" s="1454">
        <f>+BC28+BC46+BC51</f>
        <v>2789.1000000000004</v>
      </c>
      <c r="BD53" s="1454">
        <f>+BD28+BD46+BD51</f>
        <v>1958.6</v>
      </c>
      <c r="BE53" s="1454">
        <f>+BC53-BD53</f>
        <v>830.50000000000045</v>
      </c>
    </row>
    <row r="54" spans="2:57">
      <c r="C54" s="802" t="s">
        <v>2116</v>
      </c>
      <c r="D54" s="917"/>
      <c r="E54" s="1426"/>
      <c r="G54" s="802" t="s">
        <v>2116</v>
      </c>
      <c r="H54" s="917"/>
      <c r="I54" s="1426"/>
      <c r="K54" s="802" t="s">
        <v>2116</v>
      </c>
      <c r="L54" s="917"/>
      <c r="M54" s="1426">
        <f>(+M51+U51+Y51+AC51)/4</f>
        <v>20.812860520543495</v>
      </c>
    </row>
    <row r="55" spans="2:57" ht="10" customHeight="1"/>
    <row r="56" spans="2:57">
      <c r="C56" s="2143" t="s">
        <v>2413</v>
      </c>
      <c r="D56" s="2159"/>
      <c r="E56" s="2144"/>
      <c r="G56" s="2143" t="s">
        <v>2415</v>
      </c>
      <c r="H56" s="2159"/>
      <c r="I56" s="2144"/>
      <c r="K56" s="2143" t="s">
        <v>1875</v>
      </c>
      <c r="L56" s="2159"/>
      <c r="M56" s="2144"/>
      <c r="O56" s="2143" t="s">
        <v>1598</v>
      </c>
      <c r="P56" s="2159"/>
      <c r="Q56" s="2144"/>
      <c r="S56" s="2143" t="s">
        <v>1337</v>
      </c>
      <c r="T56" s="2159"/>
      <c r="U56" s="2144"/>
      <c r="W56" s="2143" t="s">
        <v>1185</v>
      </c>
      <c r="X56" s="2159"/>
      <c r="Y56" s="2144"/>
      <c r="AA56" s="2143" t="s">
        <v>1338</v>
      </c>
      <c r="AB56" s="2159"/>
      <c r="AC56" s="2144"/>
      <c r="AE56" s="2143" t="s">
        <v>1673</v>
      </c>
      <c r="AF56" s="2159"/>
      <c r="AG56" s="2144"/>
      <c r="AI56" s="2143" t="s">
        <v>1696</v>
      </c>
      <c r="AJ56" s="2159"/>
      <c r="AK56" s="2144"/>
      <c r="AM56" s="2143" t="s">
        <v>1697</v>
      </c>
      <c r="AN56" s="2159"/>
      <c r="AO56" s="2144"/>
      <c r="AQ56" s="2143" t="s">
        <v>1698</v>
      </c>
      <c r="AR56" s="2159"/>
      <c r="AS56" s="2144"/>
      <c r="AU56" s="2143" t="s">
        <v>1699</v>
      </c>
      <c r="AV56" s="2159"/>
      <c r="AW56" s="2144"/>
    </row>
    <row r="58" spans="2:57">
      <c r="B58" t="s">
        <v>1647</v>
      </c>
    </row>
    <row r="59" spans="2:57">
      <c r="B59" t="s">
        <v>1648</v>
      </c>
    </row>
    <row r="61" spans="2:57">
      <c r="B61" s="11" t="s">
        <v>2412</v>
      </c>
      <c r="C61" s="11"/>
      <c r="D61" s="11"/>
      <c r="E61" s="11"/>
      <c r="F61" s="11"/>
    </row>
    <row r="62" spans="2:57">
      <c r="B62" s="11" t="s">
        <v>2414</v>
      </c>
    </row>
    <row r="66" spans="2:9">
      <c r="B66" s="2160" t="s">
        <v>2417</v>
      </c>
      <c r="C66" s="2160"/>
      <c r="D66" s="2160"/>
      <c r="E66" s="2160"/>
    </row>
    <row r="67" spans="2:9">
      <c r="B67" s="2160" t="s">
        <v>2416</v>
      </c>
      <c r="C67" s="2160"/>
      <c r="D67" s="2160"/>
      <c r="E67" s="2160"/>
      <c r="H67" s="42" t="s">
        <v>2418</v>
      </c>
    </row>
    <row r="68" spans="2:9">
      <c r="B68" s="150" t="s">
        <v>1997</v>
      </c>
      <c r="C68" s="39" t="s">
        <v>1148</v>
      </c>
      <c r="D68" s="39" t="s">
        <v>1149</v>
      </c>
      <c r="E68" s="39" t="s">
        <v>1604</v>
      </c>
      <c r="H68" s="42" t="s">
        <v>16</v>
      </c>
    </row>
    <row r="69" spans="2:9">
      <c r="B69" s="45">
        <v>2015</v>
      </c>
      <c r="C69" s="318">
        <f>+AY49</f>
        <v>2043.6999999999998</v>
      </c>
      <c r="D69" s="318">
        <f>+AZ49</f>
        <v>1694.5</v>
      </c>
      <c r="E69" s="318">
        <f>+C69-D69</f>
        <v>349.19999999999982</v>
      </c>
    </row>
    <row r="70" spans="2:9">
      <c r="B70" s="45">
        <v>2016</v>
      </c>
      <c r="C70" s="318">
        <f>+AU49</f>
        <v>2921.3999999999996</v>
      </c>
      <c r="D70" s="318">
        <f>+AV49</f>
        <v>2494</v>
      </c>
      <c r="E70" s="318">
        <f t="shared" ref="E70:E86" si="44">+C70-D70</f>
        <v>427.39999999999964</v>
      </c>
      <c r="I70" s="53">
        <f>+E70-E69</f>
        <v>78.199999999999818</v>
      </c>
    </row>
    <row r="71" spans="2:9">
      <c r="B71" s="45">
        <v>2017</v>
      </c>
      <c r="C71" s="318">
        <f>+AQ49</f>
        <v>5219.3</v>
      </c>
      <c r="D71" s="318">
        <f>+AR49</f>
        <v>4058.4</v>
      </c>
      <c r="E71" s="318">
        <f t="shared" si="44"/>
        <v>1160.9000000000001</v>
      </c>
      <c r="I71" s="53">
        <f>+E71-E70</f>
        <v>733.50000000000045</v>
      </c>
    </row>
    <row r="72" spans="2:9">
      <c r="B72" s="45">
        <v>2018</v>
      </c>
      <c r="C72" s="318">
        <f>+AM49</f>
        <v>4608.1000000000004</v>
      </c>
      <c r="D72" s="318">
        <f>+AN49</f>
        <v>4706.5</v>
      </c>
      <c r="E72" s="318">
        <f t="shared" si="44"/>
        <v>-98.399999999999636</v>
      </c>
      <c r="I72" s="53">
        <f>+E72-E71</f>
        <v>-1259.2999999999997</v>
      </c>
    </row>
    <row r="73" spans="2:9">
      <c r="B73" s="45">
        <v>2019</v>
      </c>
      <c r="C73" s="318">
        <f>+AI49</f>
        <v>4901.8</v>
      </c>
      <c r="D73" s="318">
        <f>+AJ49</f>
        <v>5095.8999999999996</v>
      </c>
      <c r="E73" s="318">
        <f t="shared" si="44"/>
        <v>-194.09999999999945</v>
      </c>
      <c r="I73" s="53">
        <f>+E73-E72</f>
        <v>-95.699999999999818</v>
      </c>
    </row>
    <row r="74" spans="2:9">
      <c r="B74" s="15"/>
      <c r="C74" s="57"/>
      <c r="D74" s="57"/>
      <c r="E74" s="57"/>
      <c r="I74" s="53"/>
    </row>
    <row r="75" spans="2:9">
      <c r="B75" s="30"/>
      <c r="C75" s="53"/>
      <c r="D75" s="53"/>
      <c r="E75" s="53"/>
      <c r="I75" s="53"/>
    </row>
    <row r="76" spans="2:9">
      <c r="B76" s="30"/>
      <c r="C76" s="53"/>
      <c r="D76" s="53"/>
      <c r="E76" s="53"/>
      <c r="I76" s="53"/>
    </row>
    <row r="77" spans="2:9">
      <c r="B77" s="2160" t="s">
        <v>2417</v>
      </c>
      <c r="C77" s="2160"/>
      <c r="D77" s="2160"/>
      <c r="E77" s="2160"/>
      <c r="I77" s="53"/>
    </row>
    <row r="78" spans="2:9">
      <c r="B78" s="2160" t="s">
        <v>2416</v>
      </c>
      <c r="C78" s="2160"/>
      <c r="D78" s="2160"/>
      <c r="E78" s="2160"/>
      <c r="I78" s="53"/>
    </row>
    <row r="79" spans="2:9">
      <c r="B79" s="150" t="s">
        <v>1997</v>
      </c>
      <c r="C79" s="39" t="s">
        <v>1148</v>
      </c>
      <c r="D79" s="39" t="s">
        <v>1149</v>
      </c>
      <c r="E79" s="981" t="s">
        <v>1604</v>
      </c>
      <c r="I79" s="53"/>
    </row>
    <row r="80" spans="2:9">
      <c r="B80" s="45">
        <v>2020</v>
      </c>
      <c r="C80" s="318">
        <f>+AE49</f>
        <v>4485.6000000000004</v>
      </c>
      <c r="D80" s="318">
        <f>+AF49</f>
        <v>5147.5</v>
      </c>
      <c r="E80" s="740">
        <f t="shared" si="44"/>
        <v>-661.89999999999964</v>
      </c>
      <c r="I80" s="53">
        <f>+E80-E73</f>
        <v>-467.80000000000018</v>
      </c>
    </row>
    <row r="81" spans="2:10">
      <c r="B81" s="45">
        <v>2021</v>
      </c>
      <c r="C81" s="318">
        <f>+AA49</f>
        <v>6246</v>
      </c>
      <c r="D81" s="318">
        <f>+AB49</f>
        <v>5900</v>
      </c>
      <c r="E81" s="740">
        <f t="shared" si="44"/>
        <v>346</v>
      </c>
      <c r="H81" s="53"/>
      <c r="I81" s="53">
        <f t="shared" ref="I81:I86" si="45">+E81-E80</f>
        <v>1007.8999999999996</v>
      </c>
    </row>
    <row r="82" spans="2:10">
      <c r="B82" s="45">
        <v>2022</v>
      </c>
      <c r="C82" s="318">
        <f>+W49</f>
        <v>7747.1</v>
      </c>
      <c r="D82" s="318">
        <f>+X49</f>
        <v>7507</v>
      </c>
      <c r="E82" s="740">
        <f t="shared" si="44"/>
        <v>240.10000000000036</v>
      </c>
      <c r="H82" s="53"/>
      <c r="I82" s="53">
        <f t="shared" si="45"/>
        <v>-105.89999999999964</v>
      </c>
    </row>
    <row r="83" spans="2:10">
      <c r="B83" s="45">
        <v>2023</v>
      </c>
      <c r="C83" s="318">
        <f>+S49</f>
        <v>9616.5</v>
      </c>
      <c r="D83" s="318">
        <f>+T49</f>
        <v>8611</v>
      </c>
      <c r="E83" s="740">
        <f t="shared" si="44"/>
        <v>1005.5</v>
      </c>
      <c r="H83" s="53">
        <f>+E83-E82</f>
        <v>765.39999999999964</v>
      </c>
      <c r="I83" s="53">
        <f t="shared" si="45"/>
        <v>765.39999999999964</v>
      </c>
    </row>
    <row r="84" spans="2:10">
      <c r="B84" s="45">
        <v>2024</v>
      </c>
      <c r="C84" s="318">
        <f>+K49</f>
        <v>11583.1</v>
      </c>
      <c r="D84" s="318">
        <f>+L49</f>
        <v>10102.700000000001</v>
      </c>
      <c r="E84" s="740">
        <f t="shared" si="44"/>
        <v>1480.3999999999996</v>
      </c>
      <c r="H84" s="53">
        <f>+E84-E83</f>
        <v>474.89999999999964</v>
      </c>
      <c r="I84" s="53">
        <f t="shared" si="45"/>
        <v>474.89999999999964</v>
      </c>
    </row>
    <row r="85" spans="2:10">
      <c r="B85" s="45">
        <v>2025</v>
      </c>
      <c r="C85" s="318">
        <f>+G49</f>
        <v>14300</v>
      </c>
      <c r="D85" s="318">
        <f>+H49</f>
        <v>11100</v>
      </c>
      <c r="E85" s="740">
        <v>3140</v>
      </c>
      <c r="H85" s="53">
        <f>+E85-E84</f>
        <v>1659.6000000000004</v>
      </c>
      <c r="I85" s="53">
        <f t="shared" si="45"/>
        <v>1659.6000000000004</v>
      </c>
    </row>
    <row r="86" spans="2:10">
      <c r="B86" s="45" t="s">
        <v>2388</v>
      </c>
      <c r="C86" s="318">
        <f>+C49</f>
        <v>15420.7</v>
      </c>
      <c r="D86" s="318">
        <f>+D49</f>
        <v>11498.900000000001</v>
      </c>
      <c r="E86" s="740">
        <f t="shared" si="44"/>
        <v>3921.7999999999993</v>
      </c>
      <c r="F86" s="62"/>
      <c r="H86" s="53">
        <f>+E86-E85</f>
        <v>781.79999999999927</v>
      </c>
      <c r="I86" s="53">
        <f t="shared" si="45"/>
        <v>781.79999999999927</v>
      </c>
      <c r="J86" s="62"/>
    </row>
    <row r="87" spans="2:10">
      <c r="B87" s="829" t="s">
        <v>16</v>
      </c>
      <c r="C87" s="793">
        <f>+C86-C80</f>
        <v>10935.1</v>
      </c>
      <c r="D87" s="793">
        <f>+D86-D80</f>
        <v>6351.4000000000015</v>
      </c>
      <c r="H87" s="469">
        <f>SUM(H81:H86)</f>
        <v>3681.6999999999989</v>
      </c>
    </row>
    <row r="88" spans="2:10">
      <c r="B88" s="11"/>
      <c r="C88" s="1313">
        <f>+C87/C80</f>
        <v>2.4378232566434814</v>
      </c>
      <c r="D88" s="1313">
        <f>+D87/D80</f>
        <v>1.2338805245264695</v>
      </c>
      <c r="H88" s="469">
        <f>+H87/3.25</f>
        <v>1132.830769230769</v>
      </c>
    </row>
    <row r="90" spans="2:10">
      <c r="B90" s="1348" t="s">
        <v>2419</v>
      </c>
      <c r="C90" s="1413"/>
      <c r="D90" s="1167" t="s">
        <v>19</v>
      </c>
      <c r="E90" s="1359">
        <f>+E86-E80</f>
        <v>4583.6999999999989</v>
      </c>
    </row>
    <row r="91" spans="2:10">
      <c r="B91" s="11"/>
      <c r="C91" s="11"/>
      <c r="D91" s="1167" t="s">
        <v>2420</v>
      </c>
      <c r="E91" s="1359">
        <f>+E90/5.25</f>
        <v>873.08571428571406</v>
      </c>
    </row>
    <row r="93" spans="2:10">
      <c r="E93">
        <f>+E86/E95</f>
        <v>175.86547085201789</v>
      </c>
    </row>
    <row r="95" spans="2:10">
      <c r="B95" t="s">
        <v>2421</v>
      </c>
      <c r="E95">
        <v>22.3</v>
      </c>
    </row>
    <row r="101" spans="2:13">
      <c r="B101" s="11" t="s">
        <v>2439</v>
      </c>
    </row>
    <row r="102" spans="2:13">
      <c r="B102" t="s">
        <v>2440</v>
      </c>
    </row>
    <row r="103" spans="2:13">
      <c r="B103" t="s">
        <v>2441</v>
      </c>
    </row>
    <row r="104" spans="2:13">
      <c r="B104" t="s">
        <v>2442</v>
      </c>
    </row>
    <row r="105" spans="2:13">
      <c r="B105" t="s">
        <v>2443</v>
      </c>
    </row>
    <row r="106" spans="2:13">
      <c r="B106" t="s">
        <v>2444</v>
      </c>
    </row>
    <row r="107" spans="2:13">
      <c r="B107" t="s">
        <v>2445</v>
      </c>
    </row>
    <row r="110" spans="2:13">
      <c r="B110" s="11" t="s">
        <v>1677</v>
      </c>
      <c r="C110" s="11"/>
      <c r="D110" s="11"/>
      <c r="E110" s="11"/>
    </row>
    <row r="111" spans="2:13">
      <c r="C111" s="2073" t="s">
        <v>1673</v>
      </c>
      <c r="D111" s="2159"/>
      <c r="E111" s="2144"/>
      <c r="G111" s="2073" t="s">
        <v>1338</v>
      </c>
      <c r="H111" s="2159"/>
      <c r="I111" s="2144"/>
      <c r="K111" s="2073" t="s">
        <v>1185</v>
      </c>
      <c r="L111" s="2159"/>
      <c r="M111" s="2144"/>
    </row>
    <row r="112" spans="2:13">
      <c r="C112" s="503"/>
      <c r="D112" s="503" t="s">
        <v>1645</v>
      </c>
      <c r="E112" s="502" t="s">
        <v>1604</v>
      </c>
      <c r="G112" s="503"/>
      <c r="H112" s="503" t="s">
        <v>1645</v>
      </c>
      <c r="I112" s="502" t="s">
        <v>1604</v>
      </c>
      <c r="K112" s="503"/>
      <c r="L112" s="503" t="s">
        <v>1645</v>
      </c>
      <c r="M112" s="502" t="s">
        <v>1604</v>
      </c>
    </row>
    <row r="113" spans="2:13">
      <c r="C113" s="503" t="s">
        <v>926</v>
      </c>
      <c r="D113" s="503" t="s">
        <v>13</v>
      </c>
      <c r="E113" s="503" t="s">
        <v>1675</v>
      </c>
      <c r="G113" s="503" t="s">
        <v>926</v>
      </c>
      <c r="H113" s="503" t="s">
        <v>13</v>
      </c>
      <c r="I113" s="503" t="s">
        <v>1675</v>
      </c>
      <c r="K113" s="503" t="s">
        <v>926</v>
      </c>
      <c r="L113" s="503" t="s">
        <v>13</v>
      </c>
      <c r="M113" s="503" t="s">
        <v>1675</v>
      </c>
    </row>
    <row r="114" spans="2:13">
      <c r="B114" s="45" t="s">
        <v>1679</v>
      </c>
      <c r="C114" s="504" t="s">
        <v>10</v>
      </c>
      <c r="D114" s="504" t="s">
        <v>10</v>
      </c>
      <c r="E114" s="504" t="s">
        <v>1149</v>
      </c>
      <c r="G114" s="504" t="s">
        <v>10</v>
      </c>
      <c r="H114" s="504" t="s">
        <v>10</v>
      </c>
      <c r="I114" s="504" t="s">
        <v>1149</v>
      </c>
      <c r="K114" s="504" t="s">
        <v>10</v>
      </c>
      <c r="L114" s="504" t="s">
        <v>10</v>
      </c>
      <c r="M114" s="504" t="s">
        <v>1149</v>
      </c>
    </row>
    <row r="115" spans="2:13">
      <c r="B115" s="46" t="s">
        <v>2</v>
      </c>
      <c r="C115" s="318">
        <v>799.9</v>
      </c>
      <c r="D115" s="318">
        <v>1166.3</v>
      </c>
      <c r="E115" s="318">
        <f>+C115-D115</f>
        <v>-366.4</v>
      </c>
      <c r="G115" s="318">
        <v>1210.3</v>
      </c>
      <c r="H115" s="318">
        <v>1298.5</v>
      </c>
      <c r="I115" s="318">
        <f>+G115-H115</f>
        <v>-88.200000000000045</v>
      </c>
      <c r="K115" s="318">
        <v>1344.5</v>
      </c>
      <c r="L115" s="318">
        <v>1507.6</v>
      </c>
      <c r="M115" s="318">
        <f>+K115-L115</f>
        <v>-163.09999999999991</v>
      </c>
    </row>
    <row r="116" spans="2:13">
      <c r="B116" s="46" t="s">
        <v>2422</v>
      </c>
      <c r="C116" s="318">
        <v>978.9</v>
      </c>
      <c r="D116" s="318">
        <v>900.1</v>
      </c>
      <c r="E116" s="318">
        <f t="shared" ref="E116:E127" si="46">+C116-D116</f>
        <v>78.799999999999955</v>
      </c>
      <c r="G116" s="318">
        <v>1285.8</v>
      </c>
      <c r="H116" s="318">
        <v>922.1</v>
      </c>
      <c r="I116" s="318">
        <f t="shared" ref="I116:I119" si="47">+G116-H116</f>
        <v>363.69999999999993</v>
      </c>
      <c r="K116" s="318">
        <v>1864.7</v>
      </c>
      <c r="L116" s="318">
        <v>1506.3</v>
      </c>
      <c r="M116" s="318">
        <f t="shared" ref="M116:M119" si="48">+K116-L116</f>
        <v>358.40000000000009</v>
      </c>
    </row>
    <row r="117" spans="2:13">
      <c r="B117" s="46" t="s">
        <v>4</v>
      </c>
      <c r="C117" s="318">
        <v>356.4</v>
      </c>
      <c r="D117" s="318">
        <v>542.70000000000005</v>
      </c>
      <c r="E117" s="318">
        <f t="shared" si="46"/>
        <v>-186.30000000000007</v>
      </c>
      <c r="G117" s="318">
        <v>514.1</v>
      </c>
      <c r="H117" s="318">
        <v>492.1</v>
      </c>
      <c r="I117" s="318">
        <f t="shared" si="47"/>
        <v>22</v>
      </c>
      <c r="K117" s="318">
        <v>222.2</v>
      </c>
      <c r="L117" s="318">
        <v>447.1</v>
      </c>
      <c r="M117" s="318">
        <f t="shared" si="48"/>
        <v>-224.90000000000003</v>
      </c>
    </row>
    <row r="118" spans="2:13">
      <c r="B118" s="46" t="s">
        <v>1090</v>
      </c>
      <c r="C118" s="318">
        <v>1169.4000000000001</v>
      </c>
      <c r="D118" s="318">
        <v>1154</v>
      </c>
      <c r="E118" s="318">
        <f t="shared" si="46"/>
        <v>15.400000000000091</v>
      </c>
      <c r="G118" s="318">
        <v>1531.7</v>
      </c>
      <c r="H118" s="318">
        <v>1404.3</v>
      </c>
      <c r="I118" s="318">
        <f t="shared" si="47"/>
        <v>127.40000000000009</v>
      </c>
      <c r="K118" s="318">
        <v>2252.9</v>
      </c>
      <c r="L118" s="318">
        <v>1957</v>
      </c>
      <c r="M118" s="318">
        <f t="shared" si="48"/>
        <v>295.90000000000009</v>
      </c>
    </row>
    <row r="119" spans="2:13">
      <c r="B119" s="47" t="s">
        <v>2425</v>
      </c>
      <c r="C119" s="336">
        <f>SUM(C115:C118)</f>
        <v>3304.6</v>
      </c>
      <c r="D119" s="336">
        <f>SUM(D115:D118)</f>
        <v>3763.1000000000004</v>
      </c>
      <c r="E119" s="336">
        <f t="shared" si="46"/>
        <v>-458.50000000000045</v>
      </c>
      <c r="G119" s="336">
        <f>SUM(G115:G118)</f>
        <v>4541.8999999999996</v>
      </c>
      <c r="H119" s="336">
        <f>SUM(H115:H118)</f>
        <v>4117</v>
      </c>
      <c r="I119" s="336">
        <f t="shared" si="47"/>
        <v>424.89999999999964</v>
      </c>
      <c r="K119" s="336">
        <f>SUM(K115:K118)</f>
        <v>5684.2999999999993</v>
      </c>
      <c r="L119" s="336">
        <f>SUM(L115:L118)</f>
        <v>5418</v>
      </c>
      <c r="M119" s="336">
        <f t="shared" si="48"/>
        <v>266.29999999999927</v>
      </c>
    </row>
    <row r="120" spans="2:13" ht="10" customHeight="1">
      <c r="C120" s="53"/>
      <c r="D120" s="53"/>
      <c r="E120" s="53"/>
      <c r="G120" s="53"/>
      <c r="H120" s="53"/>
      <c r="I120" s="53"/>
      <c r="K120" s="53"/>
      <c r="L120" s="53"/>
      <c r="M120" s="53"/>
    </row>
    <row r="121" spans="2:13">
      <c r="B121" s="46" t="s">
        <v>2423</v>
      </c>
      <c r="C121" s="318">
        <v>454.2</v>
      </c>
      <c r="D121" s="318">
        <v>601.29999999999995</v>
      </c>
      <c r="E121" s="318">
        <f t="shared" si="46"/>
        <v>-147.09999999999997</v>
      </c>
      <c r="G121" s="318">
        <v>731.8</v>
      </c>
      <c r="H121" s="318">
        <v>906.2</v>
      </c>
      <c r="I121" s="318">
        <f t="shared" ref="I121:I125" si="49">+G121-H121</f>
        <v>-174.40000000000009</v>
      </c>
      <c r="K121" s="318">
        <v>174.8</v>
      </c>
      <c r="L121" s="318">
        <v>278.2</v>
      </c>
      <c r="M121" s="318">
        <f t="shared" ref="M121:M125" si="50">+K121-L121</f>
        <v>-103.39999999999998</v>
      </c>
    </row>
    <row r="122" spans="2:13">
      <c r="B122" s="46" t="s">
        <v>3</v>
      </c>
      <c r="C122" s="318">
        <v>402.4</v>
      </c>
      <c r="D122" s="318">
        <v>405</v>
      </c>
      <c r="E122" s="318">
        <f t="shared" si="46"/>
        <v>-2.6000000000000227</v>
      </c>
      <c r="G122" s="318">
        <v>535</v>
      </c>
      <c r="H122" s="318">
        <v>444.1</v>
      </c>
      <c r="I122" s="318">
        <f t="shared" si="49"/>
        <v>90.899999999999977</v>
      </c>
      <c r="K122" s="318">
        <v>585.29999999999995</v>
      </c>
      <c r="L122" s="318">
        <v>517</v>
      </c>
      <c r="M122" s="318">
        <f t="shared" si="50"/>
        <v>68.299999999999955</v>
      </c>
    </row>
    <row r="123" spans="2:13">
      <c r="B123" s="46" t="s">
        <v>5</v>
      </c>
      <c r="C123" s="318">
        <v>160</v>
      </c>
      <c r="D123" s="318">
        <v>214.4</v>
      </c>
      <c r="E123" s="318">
        <f t="shared" si="46"/>
        <v>-54.400000000000006</v>
      </c>
      <c r="G123" s="318">
        <v>259</v>
      </c>
      <c r="H123" s="318">
        <v>254</v>
      </c>
      <c r="I123" s="318">
        <f t="shared" si="49"/>
        <v>5</v>
      </c>
      <c r="K123" s="318">
        <v>292.8</v>
      </c>
      <c r="L123" s="318">
        <v>214</v>
      </c>
      <c r="M123" s="318">
        <f t="shared" si="50"/>
        <v>78.800000000000011</v>
      </c>
    </row>
    <row r="124" spans="2:13">
      <c r="B124" s="46" t="s">
        <v>2424</v>
      </c>
      <c r="C124" s="318"/>
      <c r="D124" s="318"/>
      <c r="E124" s="318"/>
      <c r="G124" s="318"/>
      <c r="H124" s="318"/>
      <c r="I124" s="318"/>
      <c r="K124" s="318"/>
      <c r="L124" s="318"/>
      <c r="M124" s="318"/>
    </row>
    <row r="125" spans="2:13">
      <c r="B125" s="47" t="s">
        <v>2426</v>
      </c>
      <c r="C125" s="336">
        <f>SUM(C121:C123)</f>
        <v>1016.5999999999999</v>
      </c>
      <c r="D125" s="336">
        <f>SUM(D121:D123)</f>
        <v>1220.7</v>
      </c>
      <c r="E125" s="336">
        <f t="shared" si="46"/>
        <v>-204.10000000000014</v>
      </c>
      <c r="G125" s="336">
        <f>SUM(G121:G123)</f>
        <v>1525.8</v>
      </c>
      <c r="H125" s="336">
        <f>SUM(H121:H123)</f>
        <v>1604.3000000000002</v>
      </c>
      <c r="I125" s="336">
        <f t="shared" si="49"/>
        <v>-78.500000000000227</v>
      </c>
      <c r="K125" s="336">
        <f>SUM(K121:K123)</f>
        <v>1052.8999999999999</v>
      </c>
      <c r="L125" s="336">
        <f>SUM(L121:L123)</f>
        <v>1009.2</v>
      </c>
      <c r="M125" s="336">
        <f t="shared" si="50"/>
        <v>43.699999999999818</v>
      </c>
    </row>
    <row r="126" spans="2:13" ht="10" customHeight="1">
      <c r="C126" s="53"/>
      <c r="D126" s="53"/>
      <c r="E126" s="53"/>
      <c r="G126" s="53"/>
      <c r="H126" s="53"/>
      <c r="I126" s="53"/>
      <c r="K126" s="53"/>
      <c r="L126" s="53"/>
      <c r="M126" s="53"/>
    </row>
    <row r="127" spans="2:13">
      <c r="B127" s="47" t="s">
        <v>868</v>
      </c>
      <c r="C127" s="336">
        <f>+C119+C125</f>
        <v>4321.2</v>
      </c>
      <c r="D127" s="336">
        <f>+D119+D125</f>
        <v>4983.8</v>
      </c>
      <c r="E127" s="336">
        <f t="shared" si="46"/>
        <v>-662.60000000000036</v>
      </c>
      <c r="G127" s="336">
        <f>+G119+G125</f>
        <v>6067.7</v>
      </c>
      <c r="H127" s="336">
        <f>+H119+H125</f>
        <v>5721.3</v>
      </c>
      <c r="I127" s="336">
        <f t="shared" ref="I127" si="51">+G127-H127</f>
        <v>346.39999999999964</v>
      </c>
      <c r="K127" s="336">
        <f>+K119+K125</f>
        <v>6737.1999999999989</v>
      </c>
      <c r="L127" s="336">
        <f>+L119+L125</f>
        <v>6427.2</v>
      </c>
      <c r="M127" s="336">
        <f t="shared" ref="M127" si="52">+K127-L127</f>
        <v>309.99999999999909</v>
      </c>
    </row>
    <row r="130" spans="2:17">
      <c r="C130" s="2073" t="s">
        <v>1337</v>
      </c>
      <c r="D130" s="2159"/>
      <c r="E130" s="2144"/>
      <c r="G130" s="2073" t="s">
        <v>1898</v>
      </c>
      <c r="H130" s="2159"/>
      <c r="I130" s="2144"/>
      <c r="K130" s="2073" t="s">
        <v>2415</v>
      </c>
      <c r="L130" s="2159"/>
      <c r="M130" s="2144"/>
      <c r="O130" s="2073" t="s">
        <v>2413</v>
      </c>
      <c r="P130" s="2159"/>
      <c r="Q130" s="2144"/>
    </row>
    <row r="131" spans="2:17">
      <c r="C131" s="503"/>
      <c r="D131" s="503" t="s">
        <v>1645</v>
      </c>
      <c r="E131" s="502" t="s">
        <v>1604</v>
      </c>
      <c r="G131" s="503"/>
      <c r="H131" s="503" t="s">
        <v>1645</v>
      </c>
      <c r="I131" s="502" t="s">
        <v>1604</v>
      </c>
      <c r="K131" s="503"/>
      <c r="L131" s="503" t="s">
        <v>1645</v>
      </c>
      <c r="M131" s="502" t="s">
        <v>1604</v>
      </c>
      <c r="O131" s="503"/>
      <c r="P131" s="503" t="s">
        <v>1645</v>
      </c>
      <c r="Q131" s="502" t="s">
        <v>1604</v>
      </c>
    </row>
    <row r="132" spans="2:17">
      <c r="C132" s="503" t="s">
        <v>926</v>
      </c>
      <c r="D132" s="503" t="s">
        <v>13</v>
      </c>
      <c r="E132" s="503" t="s">
        <v>1675</v>
      </c>
      <c r="G132" s="503" t="s">
        <v>926</v>
      </c>
      <c r="H132" s="503" t="s">
        <v>13</v>
      </c>
      <c r="I132" s="503" t="s">
        <v>1675</v>
      </c>
      <c r="K132" s="503" t="s">
        <v>926</v>
      </c>
      <c r="L132" s="503" t="s">
        <v>13</v>
      </c>
      <c r="M132" s="503" t="s">
        <v>1675</v>
      </c>
      <c r="O132" s="503" t="s">
        <v>926</v>
      </c>
      <c r="P132" s="503" t="s">
        <v>13</v>
      </c>
      <c r="Q132" s="503" t="s">
        <v>1675</v>
      </c>
    </row>
    <row r="133" spans="2:17">
      <c r="B133" s="45" t="s">
        <v>1679</v>
      </c>
      <c r="C133" s="504" t="s">
        <v>10</v>
      </c>
      <c r="D133" s="504" t="s">
        <v>10</v>
      </c>
      <c r="E133" s="504" t="s">
        <v>1149</v>
      </c>
      <c r="G133" s="504" t="s">
        <v>10</v>
      </c>
      <c r="H133" s="504" t="s">
        <v>10</v>
      </c>
      <c r="I133" s="504" t="s">
        <v>1149</v>
      </c>
      <c r="K133" s="504" t="s">
        <v>10</v>
      </c>
      <c r="L133" s="504" t="s">
        <v>10</v>
      </c>
      <c r="M133" s="504" t="s">
        <v>1149</v>
      </c>
      <c r="O133" s="504" t="s">
        <v>10</v>
      </c>
      <c r="P133" s="504" t="s">
        <v>10</v>
      </c>
      <c r="Q133" s="504" t="s">
        <v>1149</v>
      </c>
    </row>
    <row r="134" spans="2:17">
      <c r="B134" s="46" t="s">
        <v>2</v>
      </c>
      <c r="C134" s="318">
        <v>2251.6</v>
      </c>
      <c r="D134" s="318">
        <v>2099.5</v>
      </c>
      <c r="E134" s="318">
        <f>+C134-D134</f>
        <v>152.09999999999991</v>
      </c>
      <c r="G134" s="318">
        <v>2923.5</v>
      </c>
      <c r="H134" s="318">
        <v>2374.8000000000002</v>
      </c>
      <c r="I134" s="318">
        <f>+G134-H134</f>
        <v>548.69999999999982</v>
      </c>
      <c r="K134" s="318">
        <v>4703</v>
      </c>
      <c r="L134" s="318">
        <v>2728.2</v>
      </c>
      <c r="M134" s="318">
        <f>+K134-L134</f>
        <v>1974.8000000000002</v>
      </c>
      <c r="O134" s="318">
        <v>4579.3</v>
      </c>
      <c r="P134" s="318">
        <v>2790.3</v>
      </c>
      <c r="Q134" s="318">
        <f>+O134-P134</f>
        <v>1789</v>
      </c>
    </row>
    <row r="135" spans="2:17">
      <c r="B135" s="46" t="s">
        <v>2422</v>
      </c>
      <c r="C135" s="318">
        <v>2046.3</v>
      </c>
      <c r="D135" s="318">
        <v>1706.4</v>
      </c>
      <c r="E135" s="318">
        <f t="shared" ref="E135:E138" si="53">+C135-D135</f>
        <v>339.89999999999986</v>
      </c>
      <c r="G135" s="318">
        <v>2046.3</v>
      </c>
      <c r="H135" s="318">
        <v>1858.5</v>
      </c>
      <c r="I135" s="318">
        <f t="shared" ref="I135:I138" si="54">+G135-H135</f>
        <v>187.79999999999995</v>
      </c>
      <c r="K135" s="318">
        <v>2640.4</v>
      </c>
      <c r="L135" s="318">
        <v>2046.4</v>
      </c>
      <c r="M135" s="318">
        <f t="shared" ref="M135:M138" si="55">+K135-L135</f>
        <v>594</v>
      </c>
      <c r="O135" s="318">
        <v>3736.2</v>
      </c>
      <c r="P135" s="318">
        <v>2097.4</v>
      </c>
      <c r="Q135" s="318">
        <f t="shared" ref="Q135:Q138" si="56">+O135-P135</f>
        <v>1638.7999999999997</v>
      </c>
    </row>
    <row r="136" spans="2:17">
      <c r="B136" s="46" t="s">
        <v>4</v>
      </c>
      <c r="C136" s="318">
        <v>321.89999999999998</v>
      </c>
      <c r="D136" s="318">
        <v>430.2</v>
      </c>
      <c r="E136" s="318">
        <f t="shared" si="53"/>
        <v>-108.30000000000001</v>
      </c>
      <c r="G136" s="318">
        <v>396</v>
      </c>
      <c r="H136" s="318">
        <v>424.7</v>
      </c>
      <c r="I136" s="318">
        <f t="shared" si="54"/>
        <v>-28.699999999999989</v>
      </c>
      <c r="K136" s="318">
        <v>0</v>
      </c>
      <c r="L136" s="318">
        <v>0</v>
      </c>
      <c r="M136" s="318">
        <f t="shared" si="55"/>
        <v>0</v>
      </c>
      <c r="O136" s="318">
        <v>0</v>
      </c>
      <c r="P136" s="318">
        <v>0</v>
      </c>
      <c r="Q136" s="318">
        <f t="shared" si="56"/>
        <v>0</v>
      </c>
    </row>
    <row r="137" spans="2:17">
      <c r="B137" s="46" t="s">
        <v>1090</v>
      </c>
      <c r="C137" s="318">
        <v>2206.1</v>
      </c>
      <c r="D137" s="318">
        <v>1985.6</v>
      </c>
      <c r="E137" s="318">
        <f t="shared" si="53"/>
        <v>220.5</v>
      </c>
      <c r="G137" s="318">
        <v>2029.1</v>
      </c>
      <c r="H137" s="318">
        <v>1957.9</v>
      </c>
      <c r="I137" s="318">
        <f t="shared" si="54"/>
        <v>71.199999999999818</v>
      </c>
      <c r="K137" s="318">
        <v>2570.3000000000002</v>
      </c>
      <c r="L137" s="318">
        <v>2682.3</v>
      </c>
      <c r="M137" s="318">
        <f t="shared" si="55"/>
        <v>-112</v>
      </c>
      <c r="O137" s="318">
        <v>2519</v>
      </c>
      <c r="P137" s="318">
        <f>+P138-P134-P135</f>
        <v>2717.7999999999997</v>
      </c>
      <c r="Q137" s="318">
        <f t="shared" si="56"/>
        <v>-198.79999999999973</v>
      </c>
    </row>
    <row r="138" spans="2:17">
      <c r="B138" s="47" t="s">
        <v>2425</v>
      </c>
      <c r="C138" s="336">
        <f>SUM(C134:C137)</f>
        <v>6825.9</v>
      </c>
      <c r="D138" s="336">
        <f>SUM(D134:D137)</f>
        <v>6221.7000000000007</v>
      </c>
      <c r="E138" s="336">
        <f t="shared" si="53"/>
        <v>604.19999999999891</v>
      </c>
      <c r="G138" s="336">
        <f>SUM(G134:G137)</f>
        <v>7394.9</v>
      </c>
      <c r="H138" s="336">
        <f>SUM(H134:H137)</f>
        <v>6615.9</v>
      </c>
      <c r="I138" s="336">
        <f t="shared" si="54"/>
        <v>779</v>
      </c>
      <c r="K138" s="336">
        <f>SUM(K134:K137)</f>
        <v>9913.7000000000007</v>
      </c>
      <c r="L138" s="336">
        <f>SUM(L134:L137)</f>
        <v>7456.9000000000005</v>
      </c>
      <c r="M138" s="336">
        <f t="shared" si="55"/>
        <v>2456.8000000000002</v>
      </c>
      <c r="O138" s="336">
        <v>10834.5</v>
      </c>
      <c r="P138" s="336">
        <v>7605.5</v>
      </c>
      <c r="Q138" s="336">
        <f t="shared" si="56"/>
        <v>3229</v>
      </c>
    </row>
    <row r="139" spans="2:17" ht="10" customHeight="1">
      <c r="C139" s="53"/>
      <c r="D139" s="53"/>
      <c r="E139" s="53"/>
      <c r="G139" s="53"/>
      <c r="H139" s="53"/>
      <c r="I139" s="53"/>
      <c r="K139" s="53"/>
      <c r="L139" s="53"/>
      <c r="M139" s="53"/>
      <c r="O139" s="53"/>
      <c r="P139" s="53"/>
      <c r="Q139" s="53"/>
    </row>
    <row r="140" spans="2:17">
      <c r="B140" s="46" t="s">
        <v>2423</v>
      </c>
      <c r="C140" s="318">
        <v>0</v>
      </c>
      <c r="D140" s="318">
        <v>0</v>
      </c>
      <c r="E140" s="318">
        <f t="shared" ref="E140:E144" si="57">+C140-D140</f>
        <v>0</v>
      </c>
      <c r="G140" s="318">
        <v>0</v>
      </c>
      <c r="H140" s="318">
        <v>0</v>
      </c>
      <c r="I140" s="318">
        <f t="shared" ref="I140:I144" si="58">+G140-H140</f>
        <v>0</v>
      </c>
      <c r="K140" s="318">
        <v>0</v>
      </c>
      <c r="L140" s="318">
        <v>0</v>
      </c>
      <c r="M140" s="318">
        <f t="shared" ref="M140:M144" si="59">+K140-L140</f>
        <v>0</v>
      </c>
      <c r="O140" s="318">
        <v>0</v>
      </c>
      <c r="P140" s="318">
        <v>0</v>
      </c>
      <c r="Q140" s="318">
        <f t="shared" ref="Q140:Q144" si="60">+O140-P140</f>
        <v>0</v>
      </c>
    </row>
    <row r="141" spans="2:17">
      <c r="B141" s="46" t="s">
        <v>3</v>
      </c>
      <c r="C141" s="318">
        <v>875.2</v>
      </c>
      <c r="D141" s="318">
        <v>758.3</v>
      </c>
      <c r="E141" s="318">
        <f t="shared" si="57"/>
        <v>116.90000000000009</v>
      </c>
      <c r="G141" s="318">
        <v>910.9</v>
      </c>
      <c r="H141" s="318">
        <v>678.6</v>
      </c>
      <c r="I141" s="318">
        <f t="shared" si="58"/>
        <v>232.29999999999995</v>
      </c>
      <c r="K141" s="318">
        <v>973.1</v>
      </c>
      <c r="L141" s="318">
        <v>724.5</v>
      </c>
      <c r="M141" s="318">
        <f t="shared" si="59"/>
        <v>248.60000000000002</v>
      </c>
      <c r="O141" s="318">
        <v>923</v>
      </c>
      <c r="P141" s="318">
        <v>614.20000000000005</v>
      </c>
      <c r="Q141" s="318">
        <f t="shared" si="60"/>
        <v>308.79999999999995</v>
      </c>
    </row>
    <row r="142" spans="2:17">
      <c r="B142" s="46" t="s">
        <v>5</v>
      </c>
      <c r="C142" s="318">
        <v>489.5</v>
      </c>
      <c r="D142" s="318">
        <v>201.1</v>
      </c>
      <c r="E142" s="318">
        <f t="shared" si="57"/>
        <v>288.39999999999998</v>
      </c>
      <c r="G142" s="318">
        <v>687.5</v>
      </c>
      <c r="H142" s="318">
        <v>220.3</v>
      </c>
      <c r="I142" s="318">
        <f t="shared" si="58"/>
        <v>467.2</v>
      </c>
      <c r="K142" s="318">
        <v>496.9</v>
      </c>
      <c r="L142" s="318">
        <v>222.4</v>
      </c>
      <c r="M142" s="318">
        <f t="shared" si="59"/>
        <v>274.5</v>
      </c>
      <c r="O142" s="318">
        <v>278.89999999999998</v>
      </c>
      <c r="P142" s="318">
        <v>219.2</v>
      </c>
      <c r="Q142" s="318">
        <f t="shared" si="60"/>
        <v>59.699999999999989</v>
      </c>
    </row>
    <row r="143" spans="2:17">
      <c r="B143" s="46" t="s">
        <v>2424</v>
      </c>
      <c r="C143" s="318">
        <v>164.7</v>
      </c>
      <c r="D143" s="318">
        <v>168.2</v>
      </c>
      <c r="E143" s="318">
        <f t="shared" si="57"/>
        <v>-3.5</v>
      </c>
      <c r="G143" s="318">
        <v>180.6</v>
      </c>
      <c r="H143" s="318">
        <v>178.6</v>
      </c>
      <c r="I143" s="318">
        <f t="shared" si="58"/>
        <v>2</v>
      </c>
      <c r="K143" s="318">
        <v>264.8</v>
      </c>
      <c r="L143" s="318">
        <v>105.1</v>
      </c>
      <c r="M143" s="318">
        <f t="shared" si="59"/>
        <v>159.70000000000002</v>
      </c>
      <c r="O143" s="318">
        <v>784.3</v>
      </c>
      <c r="P143" s="318">
        <v>460</v>
      </c>
      <c r="Q143" s="318">
        <f t="shared" si="60"/>
        <v>324.29999999999995</v>
      </c>
    </row>
    <row r="144" spans="2:17">
      <c r="B144" s="47" t="s">
        <v>2426</v>
      </c>
      <c r="C144" s="336">
        <f>SUM(C140:C143)</f>
        <v>1529.4</v>
      </c>
      <c r="D144" s="336">
        <f>SUM(D140:D143)</f>
        <v>1127.5999999999999</v>
      </c>
      <c r="E144" s="336">
        <f t="shared" si="57"/>
        <v>401.80000000000018</v>
      </c>
      <c r="G144" s="336">
        <f>SUM(G140:G143)</f>
        <v>1779</v>
      </c>
      <c r="H144" s="336">
        <f>SUM(H140:H143)</f>
        <v>1077.5</v>
      </c>
      <c r="I144" s="336">
        <f t="shared" si="58"/>
        <v>701.5</v>
      </c>
      <c r="K144" s="336">
        <f>SUM(K140:K143)</f>
        <v>1734.8</v>
      </c>
      <c r="L144" s="336">
        <f>SUM(L140:L143)</f>
        <v>1052</v>
      </c>
      <c r="M144" s="336">
        <f t="shared" si="59"/>
        <v>682.8</v>
      </c>
      <c r="O144" s="336">
        <v>1986.2</v>
      </c>
      <c r="P144" s="336">
        <v>1293.4000000000001</v>
      </c>
      <c r="Q144" s="336">
        <f t="shared" si="60"/>
        <v>692.8</v>
      </c>
    </row>
    <row r="145" spans="2:17" ht="11" customHeight="1">
      <c r="C145" s="53"/>
      <c r="D145" s="53"/>
      <c r="E145" s="53"/>
      <c r="G145" s="53"/>
      <c r="H145" s="53"/>
      <c r="I145" s="53"/>
      <c r="K145" s="53"/>
      <c r="L145" s="53"/>
      <c r="M145" s="53"/>
      <c r="O145" s="53"/>
      <c r="P145" s="53"/>
      <c r="Q145" s="53"/>
    </row>
    <row r="146" spans="2:17">
      <c r="B146" s="47" t="s">
        <v>868</v>
      </c>
      <c r="C146" s="336">
        <f>+C138+C144</f>
        <v>8355.2999999999993</v>
      </c>
      <c r="D146" s="336">
        <f>+D138+D144</f>
        <v>7349.3000000000011</v>
      </c>
      <c r="E146" s="336">
        <f t="shared" ref="E146" si="61">+C146-D146</f>
        <v>1005.9999999999982</v>
      </c>
      <c r="G146" s="336">
        <f>+G138+G144</f>
        <v>9173.9</v>
      </c>
      <c r="H146" s="336">
        <f>+H138+H144</f>
        <v>7693.4</v>
      </c>
      <c r="I146" s="336">
        <f t="shared" ref="I146" si="62">+G146-H146</f>
        <v>1480.5</v>
      </c>
      <c r="K146" s="336">
        <f>+K138+K144</f>
        <v>11648.5</v>
      </c>
      <c r="L146" s="336">
        <f>+L138+L144</f>
        <v>8508.9000000000015</v>
      </c>
      <c r="M146" s="336">
        <f t="shared" ref="M146" si="63">+K146-L146</f>
        <v>3139.5999999999985</v>
      </c>
      <c r="O146" s="336">
        <f>+O138+O144</f>
        <v>12820.7</v>
      </c>
      <c r="P146" s="336">
        <f>+P138+P144</f>
        <v>8898.9</v>
      </c>
      <c r="Q146" s="336">
        <f t="shared" ref="Q146" si="64">+O146-P146</f>
        <v>3921.8000000000011</v>
      </c>
    </row>
    <row r="155" spans="2:17">
      <c r="B155" t="s">
        <v>2427</v>
      </c>
    </row>
    <row r="156" spans="2:17">
      <c r="B156" t="s">
        <v>2428</v>
      </c>
    </row>
    <row r="157" spans="2:17">
      <c r="B157" t="s">
        <v>2429</v>
      </c>
    </row>
    <row r="158" spans="2:17">
      <c r="B158" t="s">
        <v>2430</v>
      </c>
    </row>
    <row r="159" spans="2:17">
      <c r="B159" t="s">
        <v>2431</v>
      </c>
    </row>
    <row r="161" spans="2:7">
      <c r="B161" t="s">
        <v>2432</v>
      </c>
    </row>
    <row r="162" spans="2:7">
      <c r="B162" t="s">
        <v>2433</v>
      </c>
    </row>
    <row r="163" spans="2:7">
      <c r="B163" t="s">
        <v>2434</v>
      </c>
    </row>
    <row r="164" spans="2:7">
      <c r="B164" t="s">
        <v>2435</v>
      </c>
    </row>
    <row r="165" spans="2:7">
      <c r="B165" t="s">
        <v>2436</v>
      </c>
    </row>
    <row r="166" spans="2:7">
      <c r="B166" t="s">
        <v>2437</v>
      </c>
    </row>
    <row r="168" spans="2:7">
      <c r="B168" t="s">
        <v>2438</v>
      </c>
    </row>
    <row r="171" spans="2:7">
      <c r="B171" s="2160" t="s">
        <v>2446</v>
      </c>
      <c r="C171" s="2160"/>
      <c r="D171" s="2160"/>
      <c r="E171" s="2160"/>
    </row>
    <row r="172" spans="2:7">
      <c r="B172" s="2160" t="s">
        <v>2447</v>
      </c>
      <c r="C172" s="2160"/>
      <c r="D172" s="2160"/>
      <c r="E172" s="2160"/>
      <c r="G172" s="863" t="s">
        <v>826</v>
      </c>
    </row>
    <row r="173" spans="2:7">
      <c r="B173" s="150" t="s">
        <v>1997</v>
      </c>
      <c r="C173" s="39" t="s">
        <v>1148</v>
      </c>
      <c r="D173" s="39" t="s">
        <v>1149</v>
      </c>
      <c r="E173" s="981" t="s">
        <v>1604</v>
      </c>
      <c r="G173" s="1320" t="s">
        <v>170</v>
      </c>
    </row>
    <row r="174" spans="2:7">
      <c r="B174" s="45">
        <v>2020</v>
      </c>
      <c r="C174" s="318">
        <f>+C127</f>
        <v>4321.2</v>
      </c>
      <c r="D174" s="318">
        <f>+D127</f>
        <v>4983.8</v>
      </c>
      <c r="E174" s="740">
        <f t="shared" ref="E174:E178" si="65">+C174-D174</f>
        <v>-662.60000000000036</v>
      </c>
      <c r="G174" s="116"/>
    </row>
    <row r="175" spans="2:7">
      <c r="B175" s="45">
        <v>2021</v>
      </c>
      <c r="C175" s="318">
        <f>+G127</f>
        <v>6067.7</v>
      </c>
      <c r="D175" s="318">
        <f>+H127</f>
        <v>5721.3</v>
      </c>
      <c r="E175" s="740">
        <f t="shared" si="65"/>
        <v>346.39999999999964</v>
      </c>
      <c r="G175" s="69"/>
    </row>
    <row r="176" spans="2:7">
      <c r="B176" s="45">
        <v>2022</v>
      </c>
      <c r="C176" s="318">
        <f>+K127</f>
        <v>6737.1999999999989</v>
      </c>
      <c r="D176" s="318">
        <f>+L127</f>
        <v>6427.2</v>
      </c>
      <c r="E176" s="740">
        <f t="shared" si="65"/>
        <v>309.99999999999909</v>
      </c>
      <c r="G176" s="69"/>
    </row>
    <row r="177" spans="2:7">
      <c r="B177" s="45">
        <v>2023</v>
      </c>
      <c r="C177" s="318">
        <f>+C146</f>
        <v>8355.2999999999993</v>
      </c>
      <c r="D177" s="318">
        <f>+D146</f>
        <v>7349.3000000000011</v>
      </c>
      <c r="E177" s="740">
        <f t="shared" si="65"/>
        <v>1005.9999999999982</v>
      </c>
      <c r="G177" s="69"/>
    </row>
    <row r="178" spans="2:7">
      <c r="B178" s="45">
        <v>2024</v>
      </c>
      <c r="C178" s="318">
        <f>+G146</f>
        <v>9173.9</v>
      </c>
      <c r="D178" s="318">
        <f>+H146</f>
        <v>7693.4</v>
      </c>
      <c r="E178" s="740">
        <f t="shared" si="65"/>
        <v>1480.5</v>
      </c>
      <c r="G178" s="69"/>
    </row>
    <row r="179" spans="2:7">
      <c r="B179" s="45">
        <v>2025</v>
      </c>
      <c r="C179" s="318">
        <f>+K146</f>
        <v>11648.5</v>
      </c>
      <c r="D179" s="318">
        <f>+L146</f>
        <v>8508.9000000000015</v>
      </c>
      <c r="E179" s="740">
        <v>3140</v>
      </c>
      <c r="G179" s="69"/>
    </row>
    <row r="180" spans="2:7">
      <c r="B180" s="45" t="s">
        <v>2388</v>
      </c>
      <c r="C180" s="318">
        <f>+O146</f>
        <v>12820.7</v>
      </c>
      <c r="D180" s="318">
        <f>+P146</f>
        <v>8898.9</v>
      </c>
      <c r="E180" s="740">
        <f t="shared" ref="E180" si="66">+C180-D180</f>
        <v>3921.8000000000011</v>
      </c>
      <c r="G180" s="740">
        <f>+E180/E189</f>
        <v>175.86547085201798</v>
      </c>
    </row>
    <row r="181" spans="2:7">
      <c r="B181" s="829" t="s">
        <v>16</v>
      </c>
      <c r="C181" s="793">
        <f>+C180-C174</f>
        <v>8499.5</v>
      </c>
      <c r="D181" s="793">
        <f>+D180-D174</f>
        <v>3915.0999999999995</v>
      </c>
    </row>
    <row r="182" spans="2:7">
      <c r="B182" s="11"/>
      <c r="C182" s="1313">
        <f>+C181/C174</f>
        <v>1.9669304822734426</v>
      </c>
      <c r="D182" s="1313">
        <f>+D181/D174</f>
        <v>0.78556523134957246</v>
      </c>
    </row>
    <row r="184" spans="2:7">
      <c r="B184" s="1348" t="s">
        <v>2419</v>
      </c>
      <c r="C184" s="1413"/>
      <c r="D184" s="1167" t="s">
        <v>19</v>
      </c>
      <c r="E184" s="1359">
        <f>+E180-E174</f>
        <v>4584.4000000000015</v>
      </c>
    </row>
    <row r="185" spans="2:7">
      <c r="B185" s="11"/>
      <c r="C185" s="11"/>
      <c r="D185" s="1167" t="s">
        <v>2420</v>
      </c>
      <c r="E185" s="1359">
        <f>+E184/5.25</f>
        <v>873.21904761904784</v>
      </c>
    </row>
    <row r="187" spans="2:7">
      <c r="E187">
        <f>+E180/E189</f>
        <v>175.86547085201798</v>
      </c>
    </row>
    <row r="189" spans="2:7">
      <c r="B189" t="s">
        <v>2421</v>
      </c>
      <c r="E189">
        <v>22.3</v>
      </c>
    </row>
  </sheetData>
  <mergeCells count="43">
    <mergeCell ref="BT6:BU6"/>
    <mergeCell ref="BT7:BU7"/>
    <mergeCell ref="BT8:BU8"/>
    <mergeCell ref="BT39:BU39"/>
    <mergeCell ref="K56:M56"/>
    <mergeCell ref="O56:Q56"/>
    <mergeCell ref="S56:U56"/>
    <mergeCell ref="W56:Y56"/>
    <mergeCell ref="AA56:AC56"/>
    <mergeCell ref="AE56:AG56"/>
    <mergeCell ref="AI56:AK56"/>
    <mergeCell ref="AM56:AO56"/>
    <mergeCell ref="AQ56:AS56"/>
    <mergeCell ref="AU56:AW56"/>
    <mergeCell ref="AE8:AG8"/>
    <mergeCell ref="O8:Q8"/>
    <mergeCell ref="W8:Y8"/>
    <mergeCell ref="K8:M8"/>
    <mergeCell ref="AA8:AC8"/>
    <mergeCell ref="BC8:BE8"/>
    <mergeCell ref="AI8:AK8"/>
    <mergeCell ref="AM8:AO8"/>
    <mergeCell ref="AQ8:AS8"/>
    <mergeCell ref="AU8:AW8"/>
    <mergeCell ref="AY8:BA8"/>
    <mergeCell ref="S8:U8"/>
    <mergeCell ref="B67:E67"/>
    <mergeCell ref="B77:E77"/>
    <mergeCell ref="B78:E78"/>
    <mergeCell ref="G8:I8"/>
    <mergeCell ref="G56:I56"/>
    <mergeCell ref="C8:E8"/>
    <mergeCell ref="C56:E56"/>
    <mergeCell ref="B66:E66"/>
    <mergeCell ref="O130:Q130"/>
    <mergeCell ref="B171:E171"/>
    <mergeCell ref="B172:E172"/>
    <mergeCell ref="C111:E111"/>
    <mergeCell ref="G111:I111"/>
    <mergeCell ref="K111:M111"/>
    <mergeCell ref="C130:E130"/>
    <mergeCell ref="G130:I130"/>
    <mergeCell ref="K130:M130"/>
  </mergeCells>
  <pageMargins left="0.7" right="0.7" top="0.75" bottom="0.75" header="0.3" footer="0.3"/>
  <pageSetup scale="92" orientation="landscape"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1320A-BDB2-8243-BD17-52AE40395B83}">
  <dimension ref="B4:AB90"/>
  <sheetViews>
    <sheetView zoomScaleNormal="100" workbookViewId="0">
      <selection activeCell="S14" sqref="S14"/>
    </sheetView>
  </sheetViews>
  <sheetFormatPr baseColWidth="10" defaultRowHeight="16"/>
  <cols>
    <col min="1" max="1" width="2.33203125" customWidth="1"/>
    <col min="2" max="2" width="7.83203125" style="30" customWidth="1"/>
    <col min="3" max="3" width="7.83203125" customWidth="1"/>
    <col min="4" max="5" width="8.33203125" customWidth="1"/>
    <col min="6" max="6" width="1.83203125" customWidth="1"/>
    <col min="7" max="8" width="8.33203125" customWidth="1"/>
    <col min="9" max="9" width="1.83203125" customWidth="1"/>
    <col min="10" max="11" width="9.33203125" style="840" customWidth="1"/>
    <col min="12" max="12" width="1.83203125" style="840" customWidth="1"/>
    <col min="13" max="13" width="8.5" style="840" customWidth="1"/>
    <col min="14" max="15" width="7.5" style="840" customWidth="1"/>
    <col min="16" max="16" width="8.6640625" style="840" customWidth="1"/>
    <col min="17" max="17" width="27" customWidth="1"/>
    <col min="18" max="18" width="9.5" customWidth="1"/>
    <col min="19" max="19" width="10" customWidth="1"/>
    <col min="20" max="20" width="8.83203125" customWidth="1"/>
    <col min="21" max="21" width="15.83203125" customWidth="1"/>
    <col min="22" max="22" width="12.6640625" customWidth="1"/>
    <col min="23" max="24" width="9.1640625" customWidth="1"/>
    <col min="25" max="25" width="1.5" customWidth="1"/>
    <col min="26" max="26" width="9.1640625" customWidth="1"/>
    <col min="28" max="28" width="16.6640625" bestFit="1" customWidth="1"/>
  </cols>
  <sheetData>
    <row r="4" spans="2:28" s="42" customFormat="1">
      <c r="B4" s="11" t="s">
        <v>2040</v>
      </c>
      <c r="C4"/>
      <c r="H4" s="40" t="s">
        <v>1159</v>
      </c>
      <c r="I4"/>
      <c r="J4" s="890" t="s">
        <v>19</v>
      </c>
      <c r="K4" s="863" t="s">
        <v>1216</v>
      </c>
      <c r="L4" s="841"/>
      <c r="M4" s="844" t="s">
        <v>2031</v>
      </c>
      <c r="N4" s="841"/>
      <c r="O4" s="841"/>
      <c r="P4" s="841"/>
      <c r="V4" s="791"/>
    </row>
    <row r="5" spans="2:28" s="42" customFormat="1">
      <c r="H5" s="51" t="s">
        <v>1157</v>
      </c>
      <c r="I5"/>
      <c r="J5" s="891" t="s">
        <v>977</v>
      </c>
      <c r="K5" s="892" t="s">
        <v>816</v>
      </c>
      <c r="L5" s="841"/>
      <c r="M5" s="51" t="s">
        <v>959</v>
      </c>
      <c r="N5" s="841"/>
      <c r="O5" s="841"/>
      <c r="P5" s="841"/>
      <c r="V5" s="11" t="s">
        <v>2001</v>
      </c>
      <c r="Z5" s="40" t="s">
        <v>1109</v>
      </c>
    </row>
    <row r="6" spans="2:28" s="42" customFormat="1">
      <c r="C6" s="2165" t="s">
        <v>2033</v>
      </c>
      <c r="D6" s="2166"/>
      <c r="E6" s="2167"/>
      <c r="F6" s="669"/>
      <c r="G6" s="40" t="s">
        <v>1169</v>
      </c>
      <c r="H6" s="51" t="s">
        <v>1158</v>
      </c>
      <c r="I6"/>
      <c r="J6" s="891" t="s">
        <v>1160</v>
      </c>
      <c r="K6" s="892" t="s">
        <v>1215</v>
      </c>
      <c r="L6" s="841"/>
      <c r="M6" s="51" t="s">
        <v>960</v>
      </c>
      <c r="N6" s="840"/>
      <c r="O6" s="840"/>
      <c r="P6" s="841"/>
      <c r="V6" s="300">
        <v>45291</v>
      </c>
      <c r="W6" s="1134" t="s">
        <v>2017</v>
      </c>
      <c r="X6" s="981" t="s">
        <v>1107</v>
      </c>
      <c r="Y6" s="501"/>
      <c r="Z6" s="41" t="s">
        <v>959</v>
      </c>
    </row>
    <row r="7" spans="2:28">
      <c r="B7" s="675">
        <v>45291</v>
      </c>
      <c r="C7" s="972" t="s">
        <v>1458</v>
      </c>
      <c r="D7" s="504" t="s">
        <v>16</v>
      </c>
      <c r="E7" s="504" t="s">
        <v>1107</v>
      </c>
      <c r="F7" s="501"/>
      <c r="G7" s="51" t="s">
        <v>1156</v>
      </c>
      <c r="H7" s="843" t="s">
        <v>1155</v>
      </c>
      <c r="J7" s="893" t="s">
        <v>970</v>
      </c>
      <c r="K7" s="894" t="s">
        <v>965</v>
      </c>
      <c r="L7" s="841"/>
      <c r="M7" s="41" t="s">
        <v>961</v>
      </c>
      <c r="P7" s="897"/>
      <c r="Q7" s="898"/>
      <c r="V7" s="45">
        <v>2014</v>
      </c>
      <c r="W7" s="647">
        <v>15.1</v>
      </c>
      <c r="X7" s="1700">
        <f>+W7*1000/Z7</f>
        <v>712.2641509433962</v>
      </c>
      <c r="Y7" s="53"/>
      <c r="Z7" s="44">
        <v>21.2</v>
      </c>
    </row>
    <row r="8" spans="2:28">
      <c r="B8" s="45">
        <v>2014</v>
      </c>
      <c r="C8" s="647">
        <v>11.6</v>
      </c>
      <c r="D8" s="631"/>
      <c r="E8" s="318">
        <f t="shared" ref="E8:E18" si="0">+C8/M8*1000</f>
        <v>547.16981132075466</v>
      </c>
      <c r="F8" s="476"/>
      <c r="G8" s="902">
        <v>0.90800000000000003</v>
      </c>
      <c r="H8" s="846">
        <f>(1-G8)</f>
        <v>9.1999999999999971E-2</v>
      </c>
      <c r="J8" s="895"/>
      <c r="K8" s="896">
        <v>0.02</v>
      </c>
      <c r="M8" s="44">
        <v>21.2</v>
      </c>
      <c r="P8" s="855"/>
      <c r="Q8" s="53"/>
      <c r="V8" s="45">
        <v>2015</v>
      </c>
      <c r="W8" s="647">
        <v>17.100000000000001</v>
      </c>
      <c r="X8" s="1700">
        <f t="shared" ref="X8:X10" si="1">+W8*1000/Z8</f>
        <v>770.27027027027032</v>
      </c>
      <c r="Y8" s="53"/>
      <c r="Z8" s="44">
        <v>22.2</v>
      </c>
      <c r="AB8" s="10"/>
    </row>
    <row r="9" spans="2:28">
      <c r="B9" s="45">
        <v>2015</v>
      </c>
      <c r="C9" s="647">
        <v>13.7</v>
      </c>
      <c r="D9" s="631">
        <f t="shared" ref="D9:D12" si="2">(+C9-C8)/C8</f>
        <v>0.18103448275862066</v>
      </c>
      <c r="E9" s="318">
        <f t="shared" si="0"/>
        <v>617.11711711711712</v>
      </c>
      <c r="F9" s="476"/>
      <c r="G9" s="902">
        <v>0.89900000000000002</v>
      </c>
      <c r="H9" s="846">
        <f t="shared" ref="H9:H19" si="3">(1-G9)</f>
        <v>0.10099999999999998</v>
      </c>
      <c r="J9" s="895"/>
      <c r="K9" s="895">
        <v>2.3E-2</v>
      </c>
      <c r="M9" s="44">
        <v>22.2</v>
      </c>
      <c r="P9" s="855"/>
      <c r="Q9" s="53"/>
      <c r="V9" s="45">
        <v>2016</v>
      </c>
      <c r="W9" s="647">
        <v>16.7</v>
      </c>
      <c r="X9" s="1700">
        <f t="shared" si="1"/>
        <v>722.94372294372295</v>
      </c>
      <c r="Y9" s="53"/>
      <c r="Z9" s="44">
        <v>23.1</v>
      </c>
    </row>
    <row r="10" spans="2:28">
      <c r="B10" s="45">
        <v>2016</v>
      </c>
      <c r="C10" s="647">
        <v>13.8</v>
      </c>
      <c r="D10" s="631">
        <f t="shared" si="2"/>
        <v>7.2992700729928046E-3</v>
      </c>
      <c r="E10" s="318">
        <f t="shared" si="0"/>
        <v>597.40259740259739</v>
      </c>
      <c r="F10" s="476"/>
      <c r="G10" s="902">
        <v>0.92500000000000004</v>
      </c>
      <c r="H10" s="846">
        <f t="shared" si="3"/>
        <v>7.4999999999999956E-2</v>
      </c>
      <c r="J10" s="895">
        <v>-1.6E-2</v>
      </c>
      <c r="K10" s="895">
        <v>2.5000000000000001E-2</v>
      </c>
      <c r="M10" s="44">
        <v>23.1</v>
      </c>
      <c r="P10" s="855"/>
      <c r="Q10" s="53"/>
      <c r="V10" s="45">
        <v>2017</v>
      </c>
      <c r="W10" s="647">
        <v>22.7</v>
      </c>
      <c r="X10" s="1700">
        <f t="shared" si="1"/>
        <v>816.54676258992799</v>
      </c>
      <c r="Y10" s="53"/>
      <c r="Z10" s="44">
        <v>27.8</v>
      </c>
    </row>
    <row r="11" spans="2:28">
      <c r="B11" s="45">
        <v>2017</v>
      </c>
      <c r="C11" s="647">
        <v>20.2</v>
      </c>
      <c r="D11" s="631">
        <f t="shared" si="2"/>
        <v>0.46376811594202888</v>
      </c>
      <c r="E11" s="318">
        <f t="shared" si="0"/>
        <v>726.61870503597117</v>
      </c>
      <c r="F11" s="476"/>
      <c r="G11" s="902">
        <v>1.0660000000000001</v>
      </c>
      <c r="H11" s="846">
        <f t="shared" si="3"/>
        <v>-6.6000000000000059E-2</v>
      </c>
      <c r="J11" s="895">
        <v>0.124</v>
      </c>
      <c r="K11" s="895">
        <v>1.7999999999999999E-2</v>
      </c>
      <c r="M11" s="44">
        <v>27.8</v>
      </c>
      <c r="P11" s="855"/>
      <c r="Q11" s="53"/>
      <c r="V11" s="875" t="s">
        <v>2000</v>
      </c>
      <c r="W11" s="1676">
        <f>+W10-W7</f>
        <v>7.6</v>
      </c>
      <c r="X11" s="1701">
        <f>+X10-X7</f>
        <v>104.28261164653179</v>
      </c>
      <c r="Y11" s="53"/>
      <c r="Z11" s="31"/>
    </row>
    <row r="12" spans="2:28">
      <c r="B12" s="45">
        <v>2018</v>
      </c>
      <c r="C12" s="647">
        <v>19.7</v>
      </c>
      <c r="D12" s="631">
        <f t="shared" si="2"/>
        <v>-2.4752475247524754E-2</v>
      </c>
      <c r="E12" s="318">
        <f t="shared" si="0"/>
        <v>724.26470588235293</v>
      </c>
      <c r="F12" s="476"/>
      <c r="G12" s="902">
        <v>0.97299999999999998</v>
      </c>
      <c r="H12" s="846">
        <f t="shared" si="3"/>
        <v>2.7000000000000024E-2</v>
      </c>
      <c r="J12" s="895">
        <v>5.0000000000000001E-3</v>
      </c>
      <c r="K12" s="895">
        <v>2.8000000000000001E-2</v>
      </c>
      <c r="M12" s="44">
        <v>27.2</v>
      </c>
      <c r="P12" s="855"/>
      <c r="Q12" s="53"/>
      <c r="R12" s="45">
        <v>2018</v>
      </c>
      <c r="S12" s="647">
        <v>22.718</v>
      </c>
      <c r="T12" s="631">
        <f>(+S12-W10)/W10</f>
        <v>7.9295154185025029E-4</v>
      </c>
      <c r="V12" s="340"/>
      <c r="W12" s="1313">
        <f>+W11/W7</f>
        <v>0.50331125827814571</v>
      </c>
      <c r="X12" s="1322">
        <f>+X11/X7</f>
        <v>0.14641002429844199</v>
      </c>
      <c r="Y12" s="53"/>
      <c r="Z12" s="31"/>
    </row>
    <row r="13" spans="2:28">
      <c r="B13" s="45">
        <v>2019</v>
      </c>
      <c r="C13" s="647">
        <v>20.6</v>
      </c>
      <c r="D13" s="631">
        <f>(+C13-C12)/C12</f>
        <v>4.5685279187817368E-2</v>
      </c>
      <c r="E13" s="318">
        <f t="shared" si="0"/>
        <v>768.6567164179105</v>
      </c>
      <c r="F13" s="476"/>
      <c r="G13" s="902">
        <v>0.96899999999999997</v>
      </c>
      <c r="H13" s="846">
        <f t="shared" si="3"/>
        <v>3.1000000000000028E-2</v>
      </c>
      <c r="J13" s="895">
        <v>7.5999999999999998E-2</v>
      </c>
      <c r="K13" s="895">
        <v>3.1E-2</v>
      </c>
      <c r="M13" s="44">
        <v>26.8</v>
      </c>
      <c r="P13" s="855"/>
      <c r="Q13" s="53"/>
      <c r="R13" s="45">
        <v>2019</v>
      </c>
      <c r="S13" s="647">
        <v>22.379000000000001</v>
      </c>
      <c r="T13" s="631">
        <f t="shared" ref="T13:T18" si="4">(+S13-S12)/S12</f>
        <v>-1.4922088211990432E-2</v>
      </c>
    </row>
    <row r="14" spans="2:28">
      <c r="B14" s="45">
        <v>2020</v>
      </c>
      <c r="C14" s="647">
        <v>22.7</v>
      </c>
      <c r="D14" s="631">
        <f t="shared" ref="D14:D18" si="5">(+C14-C13)/C13</f>
        <v>0.10194174757281542</v>
      </c>
      <c r="E14" s="318">
        <f t="shared" si="0"/>
        <v>866.41221374045801</v>
      </c>
      <c r="F14" s="476"/>
      <c r="G14" s="902">
        <v>0.97799999999999998</v>
      </c>
      <c r="H14" s="846">
        <f t="shared" si="3"/>
        <v>2.200000000000002E-2</v>
      </c>
      <c r="J14" s="895">
        <v>7.0000000000000001E-3</v>
      </c>
      <c r="K14" s="895">
        <v>2.4E-2</v>
      </c>
      <c r="M14" s="44">
        <v>26.2</v>
      </c>
      <c r="P14" s="855"/>
      <c r="Q14" s="53"/>
      <c r="R14" s="45">
        <v>2020</v>
      </c>
      <c r="S14" s="647">
        <v>24.277999999999999</v>
      </c>
      <c r="T14" s="631">
        <f t="shared" si="4"/>
        <v>8.4856338531659026E-2</v>
      </c>
      <c r="V14" s="340"/>
      <c r="W14" s="53"/>
      <c r="X14" s="340"/>
      <c r="Y14" s="53"/>
      <c r="Z14" s="31"/>
    </row>
    <row r="15" spans="2:28">
      <c r="B15" s="45">
        <v>2021</v>
      </c>
      <c r="C15" s="647">
        <v>25.9</v>
      </c>
      <c r="D15" s="631">
        <f t="shared" si="5"/>
        <v>0.1409691629955947</v>
      </c>
      <c r="E15" s="318">
        <f t="shared" si="0"/>
        <v>1083.6820083682007</v>
      </c>
      <c r="F15" s="476"/>
      <c r="G15" s="902">
        <v>0.95</v>
      </c>
      <c r="H15" s="846">
        <f t="shared" si="3"/>
        <v>5.0000000000000044E-2</v>
      </c>
      <c r="J15" s="895">
        <v>0.121</v>
      </c>
      <c r="K15" s="895">
        <v>1.4999999999999999E-2</v>
      </c>
      <c r="M15" s="44">
        <v>23.9</v>
      </c>
      <c r="P15" s="855"/>
      <c r="Q15" s="53"/>
      <c r="R15" s="45">
        <v>2021</v>
      </c>
      <c r="S15" s="647">
        <v>27.837</v>
      </c>
      <c r="T15" s="631">
        <f t="shared" si="4"/>
        <v>0.14659362385698993</v>
      </c>
      <c r="V15" s="340"/>
      <c r="W15" s="53"/>
      <c r="X15" s="340"/>
      <c r="Y15" s="53"/>
      <c r="Z15" s="31"/>
    </row>
    <row r="16" spans="2:28">
      <c r="B16" s="45">
        <v>2022</v>
      </c>
      <c r="C16" s="647">
        <v>29.6</v>
      </c>
      <c r="D16" s="631">
        <f t="shared" si="5"/>
        <v>0.14285714285714299</v>
      </c>
      <c r="E16" s="318">
        <f t="shared" si="0"/>
        <v>1270.3862660944205</v>
      </c>
      <c r="F16" s="476"/>
      <c r="G16" s="902">
        <v>0.94699999999999995</v>
      </c>
      <c r="H16" s="846">
        <f t="shared" si="3"/>
        <v>5.3000000000000047E-2</v>
      </c>
      <c r="J16" s="895">
        <v>2.5999999999999999E-2</v>
      </c>
      <c r="K16" s="895">
        <v>2.3E-2</v>
      </c>
      <c r="M16" s="44">
        <v>23.3</v>
      </c>
      <c r="P16" s="855"/>
      <c r="Q16" s="53"/>
      <c r="R16" s="45">
        <v>2022</v>
      </c>
      <c r="S16" s="647">
        <v>31.23</v>
      </c>
      <c r="T16" s="631">
        <f t="shared" si="4"/>
        <v>0.12188813449725189</v>
      </c>
      <c r="V16" s="340"/>
      <c r="W16" s="53"/>
      <c r="X16" s="340"/>
      <c r="Y16" s="53"/>
      <c r="Z16" s="31"/>
    </row>
    <row r="17" spans="2:28">
      <c r="B17" s="45">
        <v>2023</v>
      </c>
      <c r="C17" s="647">
        <v>33.4</v>
      </c>
      <c r="D17" s="631">
        <f t="shared" si="5"/>
        <v>0.12837837837837829</v>
      </c>
      <c r="E17" s="318">
        <f t="shared" si="0"/>
        <v>1452.173913043478</v>
      </c>
      <c r="F17" s="476"/>
      <c r="G17" s="902">
        <v>0.93200000000000005</v>
      </c>
      <c r="H17" s="846">
        <f t="shared" si="3"/>
        <v>6.7999999999999949E-2</v>
      </c>
      <c r="J17" s="895">
        <v>0.104</v>
      </c>
      <c r="K17" s="895">
        <v>4.3999999999999997E-2</v>
      </c>
      <c r="M17" s="44">
        <v>23</v>
      </c>
      <c r="P17" s="855"/>
      <c r="Q17" s="53"/>
      <c r="R17" s="45">
        <v>2023</v>
      </c>
      <c r="S17" s="647">
        <v>35.1</v>
      </c>
      <c r="T17" s="631">
        <f t="shared" si="4"/>
        <v>0.12391930835734874</v>
      </c>
      <c r="V17" s="340"/>
      <c r="W17" s="53"/>
      <c r="X17" s="340"/>
      <c r="Y17" s="53"/>
      <c r="Z17" s="31"/>
      <c r="AB17" s="10"/>
    </row>
    <row r="18" spans="2:28">
      <c r="B18" s="45">
        <v>2024</v>
      </c>
      <c r="C18" s="647">
        <v>35.4</v>
      </c>
      <c r="D18" s="631">
        <f t="shared" si="5"/>
        <v>5.9880239520958084E-2</v>
      </c>
      <c r="E18" s="318">
        <f t="shared" si="0"/>
        <v>1631.3364055299539</v>
      </c>
      <c r="F18" s="476"/>
      <c r="G18" s="902">
        <v>0.92700000000000005</v>
      </c>
      <c r="H18" s="846">
        <f t="shared" si="3"/>
        <v>7.2999999999999954E-2</v>
      </c>
      <c r="J18" s="895">
        <v>7.8E-2</v>
      </c>
      <c r="K18" s="895">
        <v>5.0999999999999997E-2</v>
      </c>
      <c r="M18" s="44">
        <v>21.7</v>
      </c>
      <c r="P18" s="855"/>
      <c r="Q18" s="53"/>
      <c r="R18" s="45">
        <v>2024</v>
      </c>
      <c r="S18" s="647">
        <v>36.9</v>
      </c>
      <c r="T18" s="631">
        <f t="shared" si="4"/>
        <v>5.1282051282051197E-2</v>
      </c>
      <c r="V18" s="340"/>
      <c r="W18" s="53"/>
      <c r="X18" s="340"/>
      <c r="Y18" s="53"/>
      <c r="Z18" s="31"/>
      <c r="AB18" s="10"/>
    </row>
    <row r="19" spans="2:28">
      <c r="B19" s="1708" t="s">
        <v>2038</v>
      </c>
      <c r="C19" s="1311">
        <f>+C18-C8</f>
        <v>23.799999999999997</v>
      </c>
      <c r="D19" s="1313">
        <f>+C19/C8</f>
        <v>2.0517241379310343</v>
      </c>
      <c r="G19" s="1709">
        <v>0.95199999999999996</v>
      </c>
      <c r="H19" s="850">
        <f t="shared" si="3"/>
        <v>4.8000000000000043E-2</v>
      </c>
      <c r="R19" t="s">
        <v>1061</v>
      </c>
      <c r="S19" s="647">
        <v>38.5</v>
      </c>
      <c r="T19" s="631">
        <f t="shared" ref="T19" si="6">(+S19-S18)/S18</f>
        <v>4.3360433604336085E-2</v>
      </c>
      <c r="AB19" s="842"/>
    </row>
    <row r="20" spans="2:28">
      <c r="B20" s="777" t="s">
        <v>2039</v>
      </c>
      <c r="C20" s="976"/>
      <c r="D20" s="1319">
        <v>0.11799999999999999</v>
      </c>
      <c r="AB20" s="842"/>
    </row>
    <row r="21" spans="2:28">
      <c r="AB21" s="842"/>
    </row>
    <row r="22" spans="2:28">
      <c r="B22" s="856" t="s">
        <v>1462</v>
      </c>
      <c r="C22" s="63"/>
      <c r="D22" s="24"/>
      <c r="E22" s="882">
        <f>(+C17-C8)/C8</f>
        <v>1.8793103448275861</v>
      </c>
      <c r="F22" s="492"/>
      <c r="J22" s="860" t="s">
        <v>1463</v>
      </c>
      <c r="K22" s="861"/>
      <c r="L22" s="861"/>
      <c r="M22" s="852">
        <v>7.6999999999999999E-2</v>
      </c>
      <c r="N22" s="851">
        <v>2.2999999999999998</v>
      </c>
      <c r="O22" s="862">
        <v>92</v>
      </c>
      <c r="AB22" s="842"/>
    </row>
    <row r="23" spans="2:28">
      <c r="B23" s="866"/>
      <c r="D23" s="50" t="s">
        <v>1192</v>
      </c>
      <c r="E23" s="63"/>
      <c r="F23" s="63"/>
      <c r="G23" s="63"/>
      <c r="H23" s="28">
        <v>97.3</v>
      </c>
      <c r="J23" s="857" t="s">
        <v>1194</v>
      </c>
      <c r="K23" s="858"/>
      <c r="L23" s="858"/>
      <c r="M23" s="858"/>
      <c r="N23" s="858"/>
      <c r="O23" s="859">
        <v>2.5000000000000001E-2</v>
      </c>
      <c r="AB23" s="842"/>
    </row>
    <row r="24" spans="2:28">
      <c r="D24" s="50" t="s">
        <v>2041</v>
      </c>
      <c r="E24" s="63"/>
      <c r="F24" s="63"/>
      <c r="G24" s="63"/>
      <c r="H24" s="28">
        <v>93.9</v>
      </c>
      <c r="J24" s="857" t="s">
        <v>1193</v>
      </c>
      <c r="K24" s="858"/>
      <c r="L24" s="858"/>
      <c r="M24" s="858"/>
      <c r="N24" s="858"/>
      <c r="O24" s="859">
        <v>5.1999999999999998E-2</v>
      </c>
      <c r="AB24" s="842"/>
    </row>
    <row r="26" spans="2:28">
      <c r="D26" t="s">
        <v>1204</v>
      </c>
      <c r="Q26" s="9" t="s">
        <v>1170</v>
      </c>
    </row>
    <row r="27" spans="2:28">
      <c r="N27" s="425"/>
      <c r="Q27" s="7" t="s">
        <v>1163</v>
      </c>
      <c r="T27" s="560" t="s">
        <v>1165</v>
      </c>
    </row>
    <row r="28" spans="2:28">
      <c r="R28" s="45" t="s">
        <v>1164</v>
      </c>
      <c r="V28" s="13"/>
      <c r="W28" s="13"/>
      <c r="X28" s="13"/>
    </row>
    <row r="29" spans="2:28">
      <c r="B29" s="9" t="s">
        <v>1212</v>
      </c>
      <c r="Q29" s="460" t="s">
        <v>1161</v>
      </c>
      <c r="R29" s="647">
        <v>90</v>
      </c>
    </row>
    <row r="30" spans="2:28">
      <c r="B30" s="1282" t="s">
        <v>1930</v>
      </c>
      <c r="C30" s="30"/>
      <c r="D30" s="39" t="s">
        <v>1173</v>
      </c>
      <c r="E30" s="39" t="s">
        <v>1177</v>
      </c>
      <c r="F30" s="39" t="s">
        <v>1174</v>
      </c>
      <c r="G30" s="39" t="s">
        <v>1178</v>
      </c>
      <c r="H30" s="39" t="s">
        <v>1175</v>
      </c>
      <c r="I30" s="39" t="s">
        <v>1179</v>
      </c>
      <c r="J30" s="39" t="s">
        <v>41</v>
      </c>
      <c r="K30" s="864" t="s">
        <v>19</v>
      </c>
      <c r="Q30" s="854" t="s">
        <v>1162</v>
      </c>
      <c r="R30" s="848">
        <v>60</v>
      </c>
      <c r="T30" s="719">
        <v>30</v>
      </c>
      <c r="U30" s="438" t="s">
        <v>1155</v>
      </c>
    </row>
    <row r="31" spans="2:28">
      <c r="B31" s="2163" t="s">
        <v>1181</v>
      </c>
      <c r="C31" s="2164"/>
      <c r="D31" s="785">
        <v>1</v>
      </c>
      <c r="E31" s="785">
        <v>0.9</v>
      </c>
      <c r="F31" s="785">
        <v>1</v>
      </c>
      <c r="G31" s="785">
        <v>1</v>
      </c>
      <c r="H31" s="869">
        <v>1</v>
      </c>
      <c r="I31" s="869">
        <v>0.83399999999999996</v>
      </c>
      <c r="J31" s="785">
        <v>0.9</v>
      </c>
      <c r="K31" s="870">
        <f>+K34/K32</f>
        <v>0.92398870056497162</v>
      </c>
      <c r="Q31" s="460" t="s">
        <v>1171</v>
      </c>
      <c r="R31" s="647">
        <v>30</v>
      </c>
    </row>
    <row r="32" spans="2:28">
      <c r="B32" s="885" t="s">
        <v>2036</v>
      </c>
      <c r="C32" s="885"/>
      <c r="D32" s="879">
        <v>2.8</v>
      </c>
      <c r="E32" s="879">
        <v>9.1999999999999993</v>
      </c>
      <c r="F32" s="879">
        <v>5.7</v>
      </c>
      <c r="G32" s="879">
        <v>1</v>
      </c>
      <c r="H32" s="879">
        <v>4.7</v>
      </c>
      <c r="I32" s="879">
        <v>8.8000000000000007</v>
      </c>
      <c r="J32" s="879">
        <v>3.1</v>
      </c>
      <c r="K32" s="886">
        <v>35.4</v>
      </c>
    </row>
    <row r="33" spans="2:21">
      <c r="B33" s="515" t="s">
        <v>1197</v>
      </c>
      <c r="C33" s="28"/>
      <c r="D33" s="601">
        <f t="shared" ref="D33:J33" si="7">+D32-D34</f>
        <v>0</v>
      </c>
      <c r="E33" s="601">
        <f t="shared" si="7"/>
        <v>0.91999999999999993</v>
      </c>
      <c r="F33" s="601">
        <f t="shared" si="7"/>
        <v>0</v>
      </c>
      <c r="G33" s="601">
        <f t="shared" si="7"/>
        <v>0</v>
      </c>
      <c r="H33" s="601">
        <f t="shared" si="7"/>
        <v>0</v>
      </c>
      <c r="I33" s="601">
        <f t="shared" si="7"/>
        <v>1.4608000000000008</v>
      </c>
      <c r="J33" s="601">
        <f t="shared" si="7"/>
        <v>0.31000000000000005</v>
      </c>
      <c r="K33" s="871">
        <f>SUM(D33:J33)</f>
        <v>2.6908000000000007</v>
      </c>
    </row>
    <row r="34" spans="2:21">
      <c r="B34" s="2161" t="s">
        <v>1176</v>
      </c>
      <c r="C34" s="2162"/>
      <c r="D34" s="872">
        <f>+D32*D31</f>
        <v>2.8</v>
      </c>
      <c r="E34" s="872">
        <f t="shared" ref="E34:J34" si="8">+E32*E31</f>
        <v>8.2799999999999994</v>
      </c>
      <c r="F34" s="872">
        <f t="shared" si="8"/>
        <v>5.7</v>
      </c>
      <c r="G34" s="872">
        <f t="shared" si="8"/>
        <v>1</v>
      </c>
      <c r="H34" s="872">
        <f t="shared" si="8"/>
        <v>4.7</v>
      </c>
      <c r="I34" s="872">
        <f t="shared" si="8"/>
        <v>7.3391999999999999</v>
      </c>
      <c r="J34" s="872">
        <f t="shared" si="8"/>
        <v>2.79</v>
      </c>
      <c r="K34" s="872">
        <f>+K32-K33</f>
        <v>32.709199999999996</v>
      </c>
    </row>
    <row r="35" spans="2:21">
      <c r="M35" s="32"/>
      <c r="N35" s="32"/>
      <c r="Q35" s="9" t="s">
        <v>43</v>
      </c>
      <c r="T35" s="560" t="s">
        <v>1165</v>
      </c>
    </row>
    <row r="36" spans="2:21">
      <c r="M36"/>
      <c r="N36"/>
      <c r="Q36" s="9" t="s">
        <v>1163</v>
      </c>
      <c r="R36" s="698"/>
    </row>
    <row r="37" spans="2:21">
      <c r="Q37" s="1283" t="s">
        <v>1930</v>
      </c>
      <c r="R37" s="45" t="s">
        <v>1164</v>
      </c>
      <c r="T37" s="334" t="s">
        <v>845</v>
      </c>
      <c r="U37" s="18"/>
    </row>
    <row r="38" spans="2:21">
      <c r="B38" s="9" t="s">
        <v>1212</v>
      </c>
      <c r="Q38" s="460" t="s">
        <v>1161</v>
      </c>
      <c r="R38" s="601">
        <v>96.8</v>
      </c>
      <c r="T38" s="79" t="s">
        <v>1180</v>
      </c>
      <c r="U38" s="23"/>
    </row>
    <row r="39" spans="2:21">
      <c r="B39" s="1282" t="s">
        <v>1334</v>
      </c>
      <c r="C39" s="30"/>
      <c r="D39" s="39" t="s">
        <v>1173</v>
      </c>
      <c r="E39" s="39" t="s">
        <v>1177</v>
      </c>
      <c r="F39" s="39" t="s">
        <v>1174</v>
      </c>
      <c r="G39" s="39" t="s">
        <v>1178</v>
      </c>
      <c r="H39" s="39" t="s">
        <v>1175</v>
      </c>
      <c r="I39" s="39" t="s">
        <v>1179</v>
      </c>
      <c r="J39" s="39" t="s">
        <v>41</v>
      </c>
      <c r="K39" s="864" t="s">
        <v>19</v>
      </c>
      <c r="Q39" s="854" t="s">
        <v>1162</v>
      </c>
      <c r="R39" s="747">
        <v>68.400000000000006</v>
      </c>
      <c r="T39" s="747">
        <v>32.700000000000003</v>
      </c>
      <c r="U39" s="438" t="s">
        <v>1195</v>
      </c>
    </row>
    <row r="40" spans="2:21">
      <c r="B40" s="2163" t="s">
        <v>1181</v>
      </c>
      <c r="C40" s="2164"/>
      <c r="D40" s="785">
        <v>1</v>
      </c>
      <c r="E40" s="785">
        <v>0.9</v>
      </c>
      <c r="F40" s="785">
        <v>1</v>
      </c>
      <c r="G40" s="785">
        <v>1</v>
      </c>
      <c r="H40" s="869">
        <v>0.86199999999999999</v>
      </c>
      <c r="I40" s="869">
        <v>0.83399999999999996</v>
      </c>
      <c r="J40" s="785">
        <v>0.9</v>
      </c>
      <c r="K40" s="870">
        <f>+K43/K41</f>
        <v>0.905682634730539</v>
      </c>
      <c r="Q40" s="460" t="s">
        <v>446</v>
      </c>
      <c r="R40" s="601">
        <f>+R38-R39</f>
        <v>28.399999999999991</v>
      </c>
      <c r="T40" s="30"/>
    </row>
    <row r="41" spans="2:21">
      <c r="B41" s="885" t="s">
        <v>1199</v>
      </c>
      <c r="C41" s="885"/>
      <c r="D41" s="879">
        <v>2.9</v>
      </c>
      <c r="E41" s="879">
        <v>8.9</v>
      </c>
      <c r="F41" s="879">
        <v>5</v>
      </c>
      <c r="G41" s="879">
        <v>1.1000000000000001</v>
      </c>
      <c r="H41" s="879">
        <v>4.0999999999999996</v>
      </c>
      <c r="I41" s="879">
        <v>8.4</v>
      </c>
      <c r="J41" s="879">
        <v>3</v>
      </c>
      <c r="K41" s="886">
        <f>SUM(D41:J41)</f>
        <v>33.4</v>
      </c>
      <c r="R41" s="30"/>
      <c r="T41" s="515" t="s">
        <v>1198</v>
      </c>
      <c r="U41" s="865"/>
    </row>
    <row r="42" spans="2:21">
      <c r="B42" s="515" t="s">
        <v>1197</v>
      </c>
      <c r="C42" s="28"/>
      <c r="D42" s="601">
        <f t="shared" ref="D42:J42" si="9">+D41-D43</f>
        <v>0</v>
      </c>
      <c r="E42" s="601">
        <f t="shared" si="9"/>
        <v>0.89000000000000057</v>
      </c>
      <c r="F42" s="601">
        <f t="shared" si="9"/>
        <v>0</v>
      </c>
      <c r="G42" s="601">
        <f t="shared" si="9"/>
        <v>0</v>
      </c>
      <c r="H42" s="601">
        <f t="shared" si="9"/>
        <v>0.56579999999999986</v>
      </c>
      <c r="I42" s="601">
        <f t="shared" si="9"/>
        <v>1.3944000000000001</v>
      </c>
      <c r="J42" s="601">
        <f t="shared" si="9"/>
        <v>0.29999999999999982</v>
      </c>
      <c r="K42" s="871">
        <f>SUM(D42:J42)</f>
        <v>3.1502000000000003</v>
      </c>
      <c r="Q42" s="46" t="s">
        <v>1213</v>
      </c>
      <c r="R42" s="601">
        <v>23</v>
      </c>
      <c r="T42" s="867">
        <f>+T39/R42</f>
        <v>1.4217391304347828</v>
      </c>
      <c r="U42" s="46" t="s">
        <v>1172</v>
      </c>
    </row>
    <row r="43" spans="2:21">
      <c r="B43" s="2161" t="s">
        <v>1176</v>
      </c>
      <c r="C43" s="2162"/>
      <c r="D43" s="872">
        <f>+D41*D40</f>
        <v>2.9</v>
      </c>
      <c r="E43" s="872">
        <f t="shared" ref="E43:J43" si="10">+E41*E40</f>
        <v>8.01</v>
      </c>
      <c r="F43" s="872">
        <f t="shared" si="10"/>
        <v>5</v>
      </c>
      <c r="G43" s="872">
        <f t="shared" si="10"/>
        <v>1.1000000000000001</v>
      </c>
      <c r="H43" s="872">
        <f t="shared" si="10"/>
        <v>3.5341999999999998</v>
      </c>
      <c r="I43" s="872">
        <f t="shared" si="10"/>
        <v>7.0056000000000003</v>
      </c>
      <c r="J43" s="872">
        <f t="shared" si="10"/>
        <v>2.7</v>
      </c>
      <c r="K43" s="872">
        <f>SUM(D43:J43)</f>
        <v>30.2498</v>
      </c>
      <c r="Q43" s="9"/>
    </row>
    <row r="44" spans="2:21">
      <c r="Q44" s="7"/>
      <c r="T44" s="30"/>
    </row>
    <row r="45" spans="2:21">
      <c r="L45" s="841"/>
      <c r="Q45" s="9" t="s">
        <v>1170</v>
      </c>
    </row>
    <row r="46" spans="2:21">
      <c r="L46" s="888"/>
      <c r="Q46" t="s">
        <v>1211</v>
      </c>
      <c r="T46" s="305" t="s">
        <v>1151</v>
      </c>
      <c r="U46" s="129"/>
    </row>
    <row r="47" spans="2:21">
      <c r="B47" s="9" t="s">
        <v>1212</v>
      </c>
      <c r="L47" s="899"/>
      <c r="R47" s="39" t="s">
        <v>1205</v>
      </c>
      <c r="S47" s="39" t="s">
        <v>1206</v>
      </c>
      <c r="T47" s="39" t="s">
        <v>984</v>
      </c>
      <c r="U47" s="39" t="s">
        <v>39</v>
      </c>
    </row>
    <row r="48" spans="2:21">
      <c r="B48" s="1282" t="s">
        <v>1114</v>
      </c>
      <c r="C48" s="30"/>
      <c r="D48" s="39" t="s">
        <v>1173</v>
      </c>
      <c r="E48" s="39" t="s">
        <v>1177</v>
      </c>
      <c r="F48" s="39" t="s">
        <v>1174</v>
      </c>
      <c r="G48" s="39" t="s">
        <v>1178</v>
      </c>
      <c r="H48" s="39" t="s">
        <v>1175</v>
      </c>
      <c r="I48" s="39" t="s">
        <v>1179</v>
      </c>
      <c r="J48" s="39" t="s">
        <v>41</v>
      </c>
      <c r="K48" s="864" t="s">
        <v>19</v>
      </c>
      <c r="L48" s="899"/>
      <c r="Q48" s="460" t="s">
        <v>1207</v>
      </c>
      <c r="R48" s="647">
        <v>80</v>
      </c>
      <c r="S48" s="647">
        <v>83</v>
      </c>
      <c r="T48" s="46"/>
      <c r="U48" s="46"/>
    </row>
    <row r="49" spans="2:21">
      <c r="B49" s="515" t="s">
        <v>1181</v>
      </c>
      <c r="C49" s="865"/>
      <c r="D49" s="785">
        <v>1</v>
      </c>
      <c r="E49" s="785">
        <v>0.9</v>
      </c>
      <c r="F49" s="785">
        <v>1</v>
      </c>
      <c r="G49" s="785">
        <v>1</v>
      </c>
      <c r="H49" s="785">
        <v>0.86</v>
      </c>
      <c r="I49" s="869">
        <v>0.82899999999999996</v>
      </c>
      <c r="J49" s="785">
        <v>0.95</v>
      </c>
      <c r="K49" s="870">
        <f>+K52/K50</f>
        <v>0.90507094594594584</v>
      </c>
      <c r="L49" s="899"/>
      <c r="Q49" s="854" t="s">
        <v>1162</v>
      </c>
      <c r="R49" s="848">
        <v>60</v>
      </c>
      <c r="S49" s="848">
        <v>60</v>
      </c>
      <c r="T49" s="46"/>
      <c r="U49" s="46"/>
    </row>
    <row r="50" spans="2:21">
      <c r="B50" s="885" t="s">
        <v>1199</v>
      </c>
      <c r="C50" s="885"/>
      <c r="D50" s="879">
        <v>2.6</v>
      </c>
      <c r="E50" s="879">
        <v>8</v>
      </c>
      <c r="F50" s="879">
        <v>4.2</v>
      </c>
      <c r="G50" s="879">
        <v>1.1000000000000001</v>
      </c>
      <c r="H50" s="879">
        <v>4.0999999999999996</v>
      </c>
      <c r="I50" s="879">
        <v>7.9</v>
      </c>
      <c r="J50" s="879">
        <v>1.7</v>
      </c>
      <c r="K50" s="886">
        <f>SUM(D50:J50)</f>
        <v>29.599999999999998</v>
      </c>
      <c r="Q50" s="887" t="s">
        <v>1171</v>
      </c>
      <c r="R50" s="868">
        <v>20</v>
      </c>
      <c r="S50" s="868">
        <v>23</v>
      </c>
      <c r="T50" s="868">
        <f>+S50-R50</f>
        <v>3</v>
      </c>
      <c r="U50" s="737">
        <f>+T50/R50</f>
        <v>0.15</v>
      </c>
    </row>
    <row r="51" spans="2:21">
      <c r="B51" s="515" t="s">
        <v>1197</v>
      </c>
      <c r="C51" s="28"/>
      <c r="D51" s="601">
        <f t="shared" ref="D51:J51" si="11">+D50-D52</f>
        <v>0</v>
      </c>
      <c r="E51" s="601">
        <f t="shared" si="11"/>
        <v>0.79999999999999982</v>
      </c>
      <c r="F51" s="601">
        <f t="shared" si="11"/>
        <v>0</v>
      </c>
      <c r="G51" s="601">
        <f t="shared" si="11"/>
        <v>0</v>
      </c>
      <c r="H51" s="601">
        <f t="shared" si="11"/>
        <v>0.57399999999999984</v>
      </c>
      <c r="I51" s="601">
        <f t="shared" si="11"/>
        <v>1.3509000000000002</v>
      </c>
      <c r="J51" s="601">
        <f t="shared" si="11"/>
        <v>8.4999999999999964E-2</v>
      </c>
      <c r="K51" s="871">
        <f>SUM(D51:J51)</f>
        <v>2.8098999999999998</v>
      </c>
      <c r="L51" s="855"/>
    </row>
    <row r="52" spans="2:21">
      <c r="B52" s="1192" t="s">
        <v>1176</v>
      </c>
      <c r="C52" s="1280"/>
      <c r="D52" s="872">
        <f>+D50*D49</f>
        <v>2.6</v>
      </c>
      <c r="E52" s="872">
        <f t="shared" ref="E52:J52" si="12">+E50*E49</f>
        <v>7.2</v>
      </c>
      <c r="F52" s="872">
        <f t="shared" si="12"/>
        <v>4.2</v>
      </c>
      <c r="G52" s="872">
        <f t="shared" si="12"/>
        <v>1.1000000000000001</v>
      </c>
      <c r="H52" s="872">
        <f t="shared" si="12"/>
        <v>3.5259999999999998</v>
      </c>
      <c r="I52" s="872">
        <f t="shared" si="12"/>
        <v>6.5491000000000001</v>
      </c>
      <c r="J52" s="872">
        <f t="shared" si="12"/>
        <v>1.615</v>
      </c>
      <c r="K52" s="872">
        <f>SUM(D52:J52)</f>
        <v>26.790099999999995</v>
      </c>
      <c r="L52" s="855"/>
    </row>
    <row r="53" spans="2:21">
      <c r="Q53" s="11" t="s">
        <v>1209</v>
      </c>
      <c r="S53" s="152"/>
    </row>
    <row r="55" spans="2:21">
      <c r="Q55" s="46" t="s">
        <v>1208</v>
      </c>
      <c r="R55" s="761">
        <v>0.05</v>
      </c>
      <c r="S55" s="761">
        <v>0.1</v>
      </c>
      <c r="T55" s="761">
        <v>0.15</v>
      </c>
    </row>
    <row r="56" spans="2:21">
      <c r="Q56" s="46" t="s">
        <v>1210</v>
      </c>
      <c r="R56" s="869">
        <f>+R55*1.5</f>
        <v>7.5000000000000011E-2</v>
      </c>
      <c r="S56" s="785">
        <f t="shared" ref="S56:T56" si="13">+S55*1.5</f>
        <v>0.15000000000000002</v>
      </c>
      <c r="T56" s="869">
        <f t="shared" si="13"/>
        <v>0.22499999999999998</v>
      </c>
    </row>
    <row r="58" spans="2:21">
      <c r="B58" s="9" t="s">
        <v>1186</v>
      </c>
    </row>
    <row r="59" spans="2:21">
      <c r="B59" s="1282" t="s">
        <v>1898</v>
      </c>
      <c r="F59" s="39" t="s">
        <v>19</v>
      </c>
      <c r="Q59" s="460" t="s">
        <v>1167</v>
      </c>
      <c r="R59" s="647">
        <v>825</v>
      </c>
    </row>
    <row r="60" spans="2:21">
      <c r="B60" s="876" t="s">
        <v>1191</v>
      </c>
      <c r="C60" s="877"/>
      <c r="D60" s="877"/>
      <c r="E60" s="878"/>
      <c r="F60" s="879">
        <v>36.9</v>
      </c>
      <c r="Q60" s="460" t="s">
        <v>1166</v>
      </c>
      <c r="R60" s="647">
        <v>834</v>
      </c>
    </row>
    <row r="61" spans="2:21">
      <c r="B61" s="515" t="s">
        <v>1182</v>
      </c>
      <c r="C61" s="63"/>
      <c r="D61" s="63"/>
      <c r="E61" s="28"/>
      <c r="F61" s="601">
        <v>-1.5</v>
      </c>
      <c r="K61" s="855"/>
      <c r="Q61" s="460" t="s">
        <v>1168</v>
      </c>
      <c r="R61" s="853">
        <f>+R59/R60</f>
        <v>0.98920863309352514</v>
      </c>
    </row>
    <row r="62" spans="2:21">
      <c r="B62" s="876" t="s">
        <v>1184</v>
      </c>
      <c r="C62" s="877"/>
      <c r="D62" s="877"/>
      <c r="E62" s="878"/>
      <c r="F62" s="879">
        <f>+F60+F61</f>
        <v>35.4</v>
      </c>
      <c r="K62" s="855">
        <f>+K41-K43</f>
        <v>3.1501999999999981</v>
      </c>
    </row>
    <row r="63" spans="2:21">
      <c r="B63" s="515" t="s">
        <v>1183</v>
      </c>
      <c r="C63" s="63"/>
      <c r="D63" s="63"/>
      <c r="E63" s="28"/>
      <c r="F63" s="601">
        <v>-2.7</v>
      </c>
    </row>
    <row r="64" spans="2:21">
      <c r="B64" s="796" t="s">
        <v>1196</v>
      </c>
      <c r="C64" s="873"/>
      <c r="D64" s="873"/>
      <c r="E64" s="874"/>
      <c r="F64" s="875">
        <f>+F62+F63</f>
        <v>32.699999999999996</v>
      </c>
    </row>
    <row r="65" spans="2:8">
      <c r="B65" s="516" t="s">
        <v>2037</v>
      </c>
      <c r="C65" s="122"/>
      <c r="D65" s="122"/>
      <c r="E65" s="123"/>
      <c r="F65" s="884">
        <f>+F64/H65*1000</f>
        <v>1506.9124423963131</v>
      </c>
      <c r="H65">
        <v>21.7</v>
      </c>
    </row>
    <row r="66" spans="2:8">
      <c r="C66" s="340"/>
      <c r="E66" s="340"/>
    </row>
    <row r="67" spans="2:8">
      <c r="C67" s="340"/>
      <c r="E67" s="340"/>
    </row>
    <row r="68" spans="2:8">
      <c r="B68" s="9" t="s">
        <v>1190</v>
      </c>
    </row>
    <row r="69" spans="2:8">
      <c r="B69" s="791" t="s">
        <v>1337</v>
      </c>
      <c r="F69" s="880" t="s">
        <v>962</v>
      </c>
      <c r="G69" s="40" t="s">
        <v>1155</v>
      </c>
    </row>
    <row r="70" spans="2:8">
      <c r="B70" s="7"/>
      <c r="F70" s="881" t="s">
        <v>1214</v>
      </c>
      <c r="G70" s="51" t="s">
        <v>1172</v>
      </c>
    </row>
    <row r="71" spans="2:8">
      <c r="E71" s="39" t="s">
        <v>1155</v>
      </c>
      <c r="F71" s="41" t="s">
        <v>446</v>
      </c>
      <c r="G71" s="41" t="s">
        <v>1188</v>
      </c>
    </row>
    <row r="72" spans="2:8">
      <c r="B72" s="515" t="s">
        <v>1082</v>
      </c>
      <c r="C72" s="63"/>
      <c r="D72" s="28"/>
      <c r="E72" s="601">
        <v>30.2</v>
      </c>
      <c r="F72" s="601">
        <v>21.6</v>
      </c>
      <c r="G72" s="883">
        <f>+E72/F72</f>
        <v>1.3981481481481479</v>
      </c>
    </row>
    <row r="73" spans="2:8">
      <c r="B73" s="515" t="s">
        <v>1189</v>
      </c>
      <c r="C73" s="63"/>
      <c r="D73" s="28"/>
      <c r="E73" s="601">
        <v>16.5</v>
      </c>
      <c r="F73" s="601">
        <v>13.1</v>
      </c>
      <c r="G73" s="883">
        <f t="shared" ref="G73:G74" si="14">+E73/F73</f>
        <v>1.2595419847328244</v>
      </c>
    </row>
    <row r="74" spans="2:8">
      <c r="B74" s="515" t="s">
        <v>1187</v>
      </c>
      <c r="C74" s="63"/>
      <c r="D74" s="28"/>
      <c r="E74" s="601">
        <v>164</v>
      </c>
      <c r="F74" s="601">
        <v>472</v>
      </c>
      <c r="G74" s="883">
        <f t="shared" si="14"/>
        <v>0.34745762711864409</v>
      </c>
    </row>
    <row r="76" spans="2:8">
      <c r="B76" s="515" t="s">
        <v>1200</v>
      </c>
      <c r="C76" s="63"/>
      <c r="D76" s="28"/>
      <c r="E76" s="601">
        <v>87.7</v>
      </c>
      <c r="F76" s="601">
        <v>255.6</v>
      </c>
      <c r="G76" s="883">
        <f>+E76/F76</f>
        <v>0.34311424100156496</v>
      </c>
    </row>
    <row r="77" spans="2:8">
      <c r="B77" s="515" t="s">
        <v>1201</v>
      </c>
      <c r="C77" s="63"/>
      <c r="D77" s="28"/>
      <c r="E77" s="601">
        <v>49.3</v>
      </c>
      <c r="F77" s="601">
        <v>91.5</v>
      </c>
      <c r="G77" s="883">
        <f>+E77/F77</f>
        <v>0.53879781420765027</v>
      </c>
    </row>
    <row r="78" spans="2:8">
      <c r="B78" s="515" t="s">
        <v>1202</v>
      </c>
      <c r="C78" s="63"/>
      <c r="D78" s="28"/>
      <c r="E78" s="601">
        <v>3.6</v>
      </c>
      <c r="F78" s="601">
        <v>17.2</v>
      </c>
      <c r="G78" s="883">
        <f>+E78/F78</f>
        <v>0.20930232558139536</v>
      </c>
    </row>
    <row r="81" spans="3:7">
      <c r="C81" s="9" t="s">
        <v>2177</v>
      </c>
      <c r="G81" s="502" t="s">
        <v>1109</v>
      </c>
    </row>
    <row r="82" spans="3:7">
      <c r="C82" s="9" t="s">
        <v>2179</v>
      </c>
      <c r="D82" s="42"/>
      <c r="E82" s="40" t="s">
        <v>826</v>
      </c>
      <c r="G82" s="503" t="s">
        <v>959</v>
      </c>
    </row>
    <row r="83" spans="3:7">
      <c r="C83" s="39" t="s">
        <v>1302</v>
      </c>
      <c r="D83" s="39" t="s">
        <v>1667</v>
      </c>
      <c r="E83" s="41" t="s">
        <v>170</v>
      </c>
      <c r="G83" s="504" t="s">
        <v>1459</v>
      </c>
    </row>
    <row r="84" spans="3:7">
      <c r="C84" s="45">
        <v>2019</v>
      </c>
      <c r="D84" s="318">
        <v>0</v>
      </c>
      <c r="E84" s="497" t="s">
        <v>40</v>
      </c>
      <c r="F84" s="62"/>
      <c r="G84" s="1852">
        <v>26.8</v>
      </c>
    </row>
    <row r="85" spans="3:7">
      <c r="C85" s="45">
        <v>2020</v>
      </c>
      <c r="D85" s="318">
        <v>356.4</v>
      </c>
      <c r="E85" s="513">
        <f t="shared" ref="E85:E90" si="15">+D85/G85</f>
        <v>13.603053435114504</v>
      </c>
      <c r="F85" s="62"/>
      <c r="G85" s="1853">
        <v>26.2</v>
      </c>
    </row>
    <row r="86" spans="3:7">
      <c r="C86" s="45">
        <v>2021</v>
      </c>
      <c r="D86" s="318">
        <v>598.79999999999995</v>
      </c>
      <c r="E86" s="513">
        <f t="shared" si="15"/>
        <v>25.05439330543933</v>
      </c>
      <c r="F86" s="62"/>
      <c r="G86" s="1854">
        <v>23.9</v>
      </c>
    </row>
    <row r="87" spans="3:7">
      <c r="C87" s="45">
        <v>2022</v>
      </c>
      <c r="D87" s="318">
        <v>868</v>
      </c>
      <c r="E87" s="513">
        <f t="shared" si="15"/>
        <v>37.253218884120173</v>
      </c>
      <c r="F87" s="62"/>
      <c r="G87" s="1854">
        <v>23.3</v>
      </c>
    </row>
    <row r="88" spans="3:7">
      <c r="C88" s="45">
        <v>2023</v>
      </c>
      <c r="D88" s="318">
        <v>1206.9000000000001</v>
      </c>
      <c r="E88" s="513">
        <f t="shared" si="15"/>
        <v>52.473913043478262</v>
      </c>
      <c r="F88" s="62"/>
      <c r="G88" s="1854">
        <v>23</v>
      </c>
    </row>
    <row r="89" spans="3:7">
      <c r="C89" s="45">
        <v>2024</v>
      </c>
      <c r="D89" s="318">
        <v>1714</v>
      </c>
      <c r="E89" s="513">
        <f t="shared" si="15"/>
        <v>78.986175115207374</v>
      </c>
      <c r="F89" s="62"/>
      <c r="G89" s="1143">
        <v>21.7</v>
      </c>
    </row>
    <row r="90" spans="3:7">
      <c r="C90" s="497" t="s">
        <v>2178</v>
      </c>
      <c r="D90" s="318">
        <v>1955</v>
      </c>
      <c r="E90" s="513">
        <f t="shared" si="15"/>
        <v>90.551181102362207</v>
      </c>
      <c r="G90" s="1143">
        <v>21.59</v>
      </c>
    </row>
  </sheetData>
  <mergeCells count="5">
    <mergeCell ref="B43:C43"/>
    <mergeCell ref="B40:C40"/>
    <mergeCell ref="B31:C31"/>
    <mergeCell ref="B34:C34"/>
    <mergeCell ref="C6:E6"/>
  </mergeCells>
  <phoneticPr fontId="16" type="noConversion"/>
  <printOptions horizontalCentered="1" gridLines="1"/>
  <pageMargins left="0.7" right="0.7" top="0.75" bottom="0.75" header="0.3" footer="0.3"/>
  <pageSetup scale="90" orientation="portrait" horizontalDpi="0" verticalDpi="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2BB5D-7B15-394D-B8C3-737F391C1B33}">
  <sheetPr codeName="Sheet4"/>
  <dimension ref="B3:AY75"/>
  <sheetViews>
    <sheetView workbookViewId="0">
      <selection activeCell="Q3" sqref="Q3"/>
    </sheetView>
  </sheetViews>
  <sheetFormatPr baseColWidth="10" defaultRowHeight="16"/>
  <cols>
    <col min="1" max="1" width="2.33203125" customWidth="1"/>
    <col min="2" max="2" width="8" style="30" customWidth="1"/>
    <col min="3" max="3" width="7.83203125" customWidth="1"/>
    <col min="4" max="4" width="1.33203125" style="30" customWidth="1"/>
    <col min="5" max="5" width="8.1640625" customWidth="1"/>
    <col min="6" max="6" width="7.33203125" customWidth="1"/>
    <col min="7" max="7" width="1.33203125" customWidth="1"/>
    <col min="8" max="8" width="8" customWidth="1"/>
    <col min="9" max="9" width="6.33203125" customWidth="1"/>
    <col min="10" max="10" width="1.33203125" customWidth="1"/>
    <col min="11" max="11" width="5.6640625" bestFit="1" customWidth="1"/>
    <col min="12" max="12" width="8" customWidth="1"/>
    <col min="13" max="13" width="1.33203125" customWidth="1"/>
    <col min="14" max="14" width="6.5" customWidth="1"/>
    <col min="15" max="15" width="7.33203125" customWidth="1"/>
    <col min="16" max="16" width="1.33203125" customWidth="1"/>
    <col min="17" max="17" width="5.6640625" bestFit="1" customWidth="1"/>
    <col min="18" max="18" width="6.5" customWidth="1"/>
    <col min="19" max="19" width="1.33203125" customWidth="1"/>
    <col min="20" max="20" width="8.1640625" bestFit="1" customWidth="1"/>
    <col min="21" max="21" width="3.33203125" customWidth="1"/>
    <col min="22" max="22" width="7" style="53" bestFit="1" customWidth="1"/>
    <col min="23" max="23" width="5.6640625" style="53" bestFit="1" customWidth="1"/>
    <col min="24" max="24" width="6.6640625" bestFit="1" customWidth="1"/>
    <col min="25" max="25" width="8.6640625" bestFit="1" customWidth="1"/>
    <col min="26" max="26" width="8.6640625" customWidth="1"/>
    <col min="27" max="27" width="9" customWidth="1"/>
    <col min="28" max="35" width="9.33203125" customWidth="1"/>
  </cols>
  <sheetData>
    <row r="3" spans="2:33" ht="21">
      <c r="C3" s="689" t="s">
        <v>974</v>
      </c>
    </row>
    <row r="4" spans="2:33">
      <c r="G4" s="9"/>
      <c r="AD4" s="151" t="s">
        <v>956</v>
      </c>
      <c r="AE4" s="212"/>
      <c r="AF4" s="40" t="s">
        <v>959</v>
      </c>
    </row>
    <row r="5" spans="2:33">
      <c r="E5" s="40" t="s">
        <v>962</v>
      </c>
      <c r="V5" s="54"/>
      <c r="AD5" s="71" t="s">
        <v>928</v>
      </c>
      <c r="AE5" s="72"/>
      <c r="AF5" s="51" t="s">
        <v>960</v>
      </c>
    </row>
    <row r="6" spans="2:33" s="42" customFormat="1">
      <c r="C6" s="40" t="s">
        <v>958</v>
      </c>
      <c r="E6" s="51" t="s">
        <v>963</v>
      </c>
      <c r="F6" s="101"/>
      <c r="G6" s="72"/>
      <c r="H6" s="2075" t="s">
        <v>956</v>
      </c>
      <c r="I6" s="2076"/>
      <c r="T6" s="40" t="s">
        <v>959</v>
      </c>
      <c r="V6" s="2169" t="s">
        <v>924</v>
      </c>
      <c r="W6" s="2170"/>
      <c r="X6" s="40" t="s">
        <v>975</v>
      </c>
      <c r="AB6"/>
      <c r="AC6"/>
      <c r="AD6" s="101" t="s">
        <v>957</v>
      </c>
      <c r="AE6" s="114"/>
      <c r="AF6" s="41" t="s">
        <v>961</v>
      </c>
      <c r="AG6"/>
    </row>
    <row r="7" spans="2:33" s="42" customFormat="1">
      <c r="C7" s="51" t="s">
        <v>170</v>
      </c>
      <c r="E7" s="51" t="s">
        <v>964</v>
      </c>
      <c r="F7" s="40" t="s">
        <v>913</v>
      </c>
      <c r="G7" s="51"/>
      <c r="H7" s="2111" t="s">
        <v>928</v>
      </c>
      <c r="I7" s="2112"/>
      <c r="K7" s="669"/>
      <c r="T7" s="51" t="s">
        <v>960</v>
      </c>
      <c r="V7" s="2171" t="s">
        <v>972</v>
      </c>
      <c r="W7" s="2172"/>
      <c r="X7" s="51" t="s">
        <v>976</v>
      </c>
      <c r="Y7" s="2075" t="s">
        <v>978</v>
      </c>
      <c r="Z7" s="2076"/>
      <c r="AB7"/>
      <c r="AC7" s="675">
        <v>45291</v>
      </c>
      <c r="AD7" s="500" t="s">
        <v>929</v>
      </c>
      <c r="AE7" s="491" t="s">
        <v>969</v>
      </c>
      <c r="AF7" s="46"/>
      <c r="AG7"/>
    </row>
    <row r="8" spans="2:33" s="42" customFormat="1">
      <c r="C8" s="41" t="s">
        <v>45</v>
      </c>
      <c r="E8" s="41" t="s">
        <v>446</v>
      </c>
      <c r="F8" s="41" t="s">
        <v>10</v>
      </c>
      <c r="G8" s="51"/>
      <c r="H8" s="2113" t="s">
        <v>957</v>
      </c>
      <c r="I8" s="2114"/>
      <c r="J8" s="72"/>
      <c r="K8" s="2165" t="s">
        <v>970</v>
      </c>
      <c r="L8" s="2167"/>
      <c r="N8" s="2165" t="s">
        <v>1155</v>
      </c>
      <c r="O8" s="2167"/>
      <c r="P8" s="669"/>
      <c r="Q8" s="2071" t="s">
        <v>971</v>
      </c>
      <c r="R8" s="2072"/>
      <c r="T8" s="41" t="s">
        <v>961</v>
      </c>
      <c r="V8" s="2113" t="s">
        <v>825</v>
      </c>
      <c r="W8" s="2114"/>
      <c r="X8" s="41" t="s">
        <v>977</v>
      </c>
      <c r="Y8" s="2113" t="s">
        <v>970</v>
      </c>
      <c r="Z8" s="2114"/>
      <c r="AB8"/>
      <c r="AC8" s="90">
        <v>2014</v>
      </c>
      <c r="AD8" s="693">
        <v>6.3019999999999996</v>
      </c>
      <c r="AE8" s="401">
        <f t="shared" ref="AE8:AE16" si="0">+AD8/AF8*1000</f>
        <v>297.2641509433962</v>
      </c>
      <c r="AF8" s="92">
        <v>21.2</v>
      </c>
      <c r="AG8"/>
    </row>
    <row r="9" spans="2:33">
      <c r="B9" s="675">
        <v>45291</v>
      </c>
      <c r="C9" s="670"/>
      <c r="D9" s="676"/>
      <c r="E9" s="500" t="s">
        <v>929</v>
      </c>
      <c r="F9" s="491" t="s">
        <v>969</v>
      </c>
      <c r="G9" s="680"/>
      <c r="H9" s="500" t="s">
        <v>929</v>
      </c>
      <c r="I9" s="491" t="s">
        <v>969</v>
      </c>
      <c r="J9" s="680"/>
      <c r="K9" s="500" t="s">
        <v>929</v>
      </c>
      <c r="L9" s="491" t="s">
        <v>969</v>
      </c>
      <c r="M9" s="686"/>
      <c r="N9" s="500" t="s">
        <v>929</v>
      </c>
      <c r="O9" s="491" t="s">
        <v>969</v>
      </c>
      <c r="P9" s="501"/>
      <c r="Q9" s="500" t="s">
        <v>929</v>
      </c>
      <c r="R9" s="491" t="s">
        <v>969</v>
      </c>
      <c r="S9" s="52"/>
      <c r="T9" s="46"/>
      <c r="V9" s="671" t="s">
        <v>968</v>
      </c>
      <c r="W9" s="671" t="s">
        <v>969</v>
      </c>
      <c r="X9" s="671" t="s">
        <v>968</v>
      </c>
      <c r="Y9" s="671" t="s">
        <v>968</v>
      </c>
      <c r="Z9" s="671" t="s">
        <v>969</v>
      </c>
      <c r="AC9" s="159">
        <v>2015</v>
      </c>
      <c r="AD9" s="692">
        <v>7.5209999999999999</v>
      </c>
      <c r="AE9" s="335">
        <f t="shared" si="0"/>
        <v>338.78378378378375</v>
      </c>
      <c r="AF9" s="91">
        <v>22.2</v>
      </c>
    </row>
    <row r="10" spans="2:33">
      <c r="AC10" s="80">
        <v>2016</v>
      </c>
      <c r="AD10" s="668">
        <v>8.0879999999999992</v>
      </c>
      <c r="AE10" s="333">
        <f t="shared" si="0"/>
        <v>350.12987012987008</v>
      </c>
      <c r="AF10" s="88">
        <v>23.1</v>
      </c>
    </row>
    <row r="11" spans="2:33">
      <c r="B11" s="80">
        <v>2022</v>
      </c>
      <c r="C11" s="333">
        <v>594.12</v>
      </c>
      <c r="D11" s="677"/>
      <c r="E11" s="667">
        <v>15.340999999999999</v>
      </c>
      <c r="F11" s="333">
        <v>657.68</v>
      </c>
      <c r="G11" s="681"/>
      <c r="H11" s="668">
        <v>22.271999999999998</v>
      </c>
      <c r="I11" s="333">
        <f t="shared" ref="I11:I24" si="1">+H11/T11*1000</f>
        <v>955.87982832618013</v>
      </c>
      <c r="J11" s="685"/>
      <c r="K11" s="667">
        <f>55478/1000</f>
        <v>55.478000000000002</v>
      </c>
      <c r="L11" s="333">
        <f t="shared" ref="L11:L24" si="2">+K11/T11*1000</f>
        <v>2381.0300429184549</v>
      </c>
      <c r="M11" s="687"/>
      <c r="N11" s="667">
        <v>31.23</v>
      </c>
      <c r="O11" s="333">
        <f t="shared" ref="O11:O24" si="3">+N11/T11*1000</f>
        <v>1340.343347639485</v>
      </c>
      <c r="P11" s="53"/>
      <c r="Q11" s="668">
        <v>7.2990000000000004</v>
      </c>
      <c r="R11" s="333">
        <f t="shared" ref="R11:R24" si="4">+Q11/T11*1000</f>
        <v>313.26180257510731</v>
      </c>
      <c r="S11" s="687"/>
      <c r="T11" s="88">
        <v>23.3</v>
      </c>
      <c r="V11" s="333">
        <f>+H11*0.05*1000</f>
        <v>1113.5999999999999</v>
      </c>
      <c r="W11" s="333">
        <f>+V11/T11</f>
        <v>47.793991416309005</v>
      </c>
      <c r="X11" s="401">
        <f>+K11*0.06*1000</f>
        <v>3328.68</v>
      </c>
      <c r="Y11" s="401">
        <f>+V11+X11</f>
        <v>4442.28</v>
      </c>
      <c r="Z11" s="338">
        <f>+Y11/T11</f>
        <v>190.65579399141629</v>
      </c>
      <c r="AC11" s="80">
        <v>2017</v>
      </c>
      <c r="AD11" s="668">
        <v>9.984</v>
      </c>
      <c r="AE11" s="333">
        <f t="shared" si="0"/>
        <v>359.136690647482</v>
      </c>
      <c r="AF11" s="88">
        <v>27.8</v>
      </c>
    </row>
    <row r="12" spans="2:33">
      <c r="B12" s="80">
        <v>2021</v>
      </c>
      <c r="C12" s="333">
        <v>492.13</v>
      </c>
      <c r="D12" s="677"/>
      <c r="E12" s="667">
        <v>15.05</v>
      </c>
      <c r="F12" s="333">
        <v>630.6</v>
      </c>
      <c r="G12" s="681"/>
      <c r="H12" s="668">
        <v>18.277999999999999</v>
      </c>
      <c r="I12" s="333">
        <f t="shared" si="1"/>
        <v>764.76987447698741</v>
      </c>
      <c r="J12" s="685"/>
      <c r="K12" s="667">
        <f>53023/1000</f>
        <v>53.023000000000003</v>
      </c>
      <c r="L12" s="333">
        <f t="shared" si="2"/>
        <v>2218.5355648535569</v>
      </c>
      <c r="M12" s="687"/>
      <c r="N12" s="667">
        <v>27.837</v>
      </c>
      <c r="O12" s="333">
        <f t="shared" si="3"/>
        <v>1164.7280334728034</v>
      </c>
      <c r="P12" s="53"/>
      <c r="Q12" s="668">
        <v>6.3070000000000004</v>
      </c>
      <c r="R12" s="333">
        <f t="shared" si="4"/>
        <v>263.89121338912133</v>
      </c>
      <c r="S12" s="687"/>
      <c r="T12" s="88">
        <v>23.9</v>
      </c>
      <c r="V12" s="333"/>
      <c r="W12" s="333"/>
      <c r="X12" s="690"/>
      <c r="Y12" s="690"/>
      <c r="Z12" s="665"/>
      <c r="AB12" s="30"/>
      <c r="AC12" s="80">
        <v>2018</v>
      </c>
      <c r="AD12" s="668">
        <v>12.430999999999999</v>
      </c>
      <c r="AE12" s="333">
        <f t="shared" si="0"/>
        <v>457.02205882352939</v>
      </c>
      <c r="AF12" s="88">
        <v>27.2</v>
      </c>
    </row>
    <row r="13" spans="2:33">
      <c r="B13" s="80">
        <v>2020</v>
      </c>
      <c r="C13" s="333">
        <v>340.94</v>
      </c>
      <c r="D13" s="677"/>
      <c r="E13" s="667">
        <v>12.621</v>
      </c>
      <c r="F13" s="333">
        <v>478.33</v>
      </c>
      <c r="G13" s="681"/>
      <c r="H13" s="668">
        <v>14.865</v>
      </c>
      <c r="I13" s="333">
        <f t="shared" si="1"/>
        <v>567.36641221374055</v>
      </c>
      <c r="J13" s="685"/>
      <c r="K13" s="667">
        <f>43171/1000</f>
        <v>43.170999999999999</v>
      </c>
      <c r="L13" s="333">
        <f t="shared" si="2"/>
        <v>1647.7480916030534</v>
      </c>
      <c r="M13" s="687"/>
      <c r="N13" s="667">
        <v>24.277999999999999</v>
      </c>
      <c r="O13" s="333">
        <f t="shared" si="3"/>
        <v>926.64122137404581</v>
      </c>
      <c r="P13" s="53"/>
      <c r="Q13" s="668">
        <v>7.585</v>
      </c>
      <c r="R13" s="333">
        <f t="shared" si="4"/>
        <v>289.50381679389312</v>
      </c>
      <c r="S13" s="687"/>
      <c r="T13" s="88">
        <v>26.2</v>
      </c>
      <c r="V13" s="333"/>
      <c r="W13" s="333"/>
      <c r="X13" s="690"/>
      <c r="Y13" s="690"/>
      <c r="Z13" s="665"/>
      <c r="AB13" s="30"/>
      <c r="AC13" s="159">
        <v>2019</v>
      </c>
      <c r="AD13" s="692">
        <v>13.836</v>
      </c>
      <c r="AE13" s="335">
        <f t="shared" si="0"/>
        <v>516.26865671641781</v>
      </c>
      <c r="AF13" s="91">
        <v>26.8</v>
      </c>
    </row>
    <row r="14" spans="2:33">
      <c r="B14" s="80">
        <v>2019</v>
      </c>
      <c r="C14" s="333">
        <v>469.11</v>
      </c>
      <c r="D14" s="677"/>
      <c r="E14" s="667">
        <v>13.042999999999999</v>
      </c>
      <c r="F14" s="333">
        <v>486.1</v>
      </c>
      <c r="G14" s="681"/>
      <c r="H14" s="668">
        <v>13.836</v>
      </c>
      <c r="I14" s="333">
        <f t="shared" si="1"/>
        <v>516.26865671641781</v>
      </c>
      <c r="J14" s="685"/>
      <c r="K14" s="667">
        <f>39005/1000</f>
        <v>39.005000000000003</v>
      </c>
      <c r="L14" s="333">
        <f t="shared" si="2"/>
        <v>1455.4104477611941</v>
      </c>
      <c r="M14" s="687"/>
      <c r="N14" s="667">
        <v>22.379000000000001</v>
      </c>
      <c r="O14" s="333">
        <f t="shared" si="3"/>
        <v>835.03731343283584</v>
      </c>
      <c r="P14" s="53"/>
      <c r="Q14" s="668">
        <v>6.2569999999999997</v>
      </c>
      <c r="R14" s="333">
        <f t="shared" si="4"/>
        <v>233.47014925373134</v>
      </c>
      <c r="S14" s="687"/>
      <c r="T14" s="88">
        <v>26.8</v>
      </c>
      <c r="V14" s="333"/>
      <c r="W14" s="333"/>
      <c r="X14" s="690"/>
      <c r="Y14" s="690"/>
      <c r="Z14" s="665"/>
      <c r="AB14" s="30"/>
      <c r="AC14" s="80">
        <v>2020</v>
      </c>
      <c r="AD14" s="668">
        <v>14.865</v>
      </c>
      <c r="AE14" s="333">
        <f t="shared" si="0"/>
        <v>567.36641221374055</v>
      </c>
      <c r="AF14" s="88">
        <v>26.2</v>
      </c>
    </row>
    <row r="15" spans="2:33">
      <c r="B15" s="80">
        <v>2018</v>
      </c>
      <c r="C15" s="333">
        <v>440.08</v>
      </c>
      <c r="D15" s="677"/>
      <c r="E15" s="667">
        <v>11.779</v>
      </c>
      <c r="F15" s="333">
        <v>432.46</v>
      </c>
      <c r="G15" s="681"/>
      <c r="H15" s="668">
        <v>12.430999999999999</v>
      </c>
      <c r="I15" s="333">
        <f t="shared" si="1"/>
        <v>457.02205882352939</v>
      </c>
      <c r="J15" s="685"/>
      <c r="K15" s="667">
        <f>38841/1000</f>
        <v>38.841000000000001</v>
      </c>
      <c r="L15" s="333">
        <f t="shared" si="2"/>
        <v>1427.9779411764705</v>
      </c>
      <c r="M15" s="687"/>
      <c r="N15" s="667">
        <v>22.718</v>
      </c>
      <c r="O15" s="333">
        <f t="shared" si="3"/>
        <v>835.22058823529414</v>
      </c>
      <c r="P15" s="53"/>
      <c r="Q15" s="668">
        <v>4.93</v>
      </c>
      <c r="R15" s="333">
        <f t="shared" si="4"/>
        <v>181.25</v>
      </c>
      <c r="S15" s="687"/>
      <c r="T15" s="88">
        <v>27.2</v>
      </c>
      <c r="V15" s="333"/>
      <c r="W15" s="333"/>
      <c r="X15" s="690"/>
      <c r="Y15" s="690"/>
      <c r="Z15" s="665"/>
      <c r="AB15" s="30"/>
      <c r="AC15" s="80">
        <v>2021</v>
      </c>
      <c r="AD15" s="668">
        <v>18.277999999999999</v>
      </c>
      <c r="AE15" s="333">
        <f t="shared" si="0"/>
        <v>764.76987447698741</v>
      </c>
      <c r="AF15" s="88">
        <v>23.9</v>
      </c>
    </row>
    <row r="16" spans="2:33">
      <c r="B16" s="80">
        <v>2017</v>
      </c>
      <c r="C16" s="333">
        <v>530.34</v>
      </c>
      <c r="D16" s="677"/>
      <c r="E16" s="667">
        <v>12.476000000000001</v>
      </c>
      <c r="F16" s="333">
        <v>449.55</v>
      </c>
      <c r="G16" s="681"/>
      <c r="H16" s="668">
        <v>9.984</v>
      </c>
      <c r="I16" s="333">
        <f t="shared" si="1"/>
        <v>359.136690647482</v>
      </c>
      <c r="J16" s="685"/>
      <c r="K16" s="667">
        <f>39255/1000</f>
        <v>39.255000000000003</v>
      </c>
      <c r="L16" s="333">
        <f t="shared" si="2"/>
        <v>1412.0503597122301</v>
      </c>
      <c r="M16" s="687"/>
      <c r="N16" s="667">
        <v>22.7</v>
      </c>
      <c r="O16" s="333">
        <f t="shared" si="3"/>
        <v>816.54676258992799</v>
      </c>
      <c r="P16" s="53"/>
      <c r="Q16" s="668">
        <v>4.0570000000000004</v>
      </c>
      <c r="R16" s="333">
        <f t="shared" si="4"/>
        <v>145.93525179856115</v>
      </c>
      <c r="S16" s="687"/>
      <c r="T16" s="88">
        <v>27.8</v>
      </c>
      <c r="V16" s="333"/>
      <c r="W16" s="333"/>
      <c r="X16" s="690"/>
      <c r="Y16" s="690"/>
      <c r="Z16" s="665"/>
      <c r="AB16" s="30"/>
      <c r="AC16" s="80">
        <v>2022</v>
      </c>
      <c r="AD16" s="668">
        <v>22.271999999999998</v>
      </c>
      <c r="AE16" s="333">
        <f t="shared" si="0"/>
        <v>955.87982832618013</v>
      </c>
      <c r="AF16" s="88">
        <v>23.3</v>
      </c>
    </row>
    <row r="17" spans="2:34">
      <c r="B17" s="80">
        <v>2016</v>
      </c>
      <c r="C17" s="333">
        <v>486.7</v>
      </c>
      <c r="D17" s="677"/>
      <c r="E17" s="667">
        <v>8.4849999999999994</v>
      </c>
      <c r="F17" s="333">
        <v>367.4</v>
      </c>
      <c r="G17" s="681"/>
      <c r="H17" s="668">
        <v>8.0879999999999992</v>
      </c>
      <c r="I17" s="333">
        <f t="shared" si="1"/>
        <v>350.12987012987008</v>
      </c>
      <c r="J17" s="685"/>
      <c r="K17" s="667">
        <v>28.431000000000001</v>
      </c>
      <c r="L17" s="333">
        <f t="shared" si="2"/>
        <v>1230.7792207792209</v>
      </c>
      <c r="M17" s="687"/>
      <c r="N17" s="667">
        <v>16.7</v>
      </c>
      <c r="O17" s="333">
        <f t="shared" si="3"/>
        <v>722.94372294372283</v>
      </c>
      <c r="P17" s="53"/>
      <c r="Q17" s="668">
        <v>3.4380000000000002</v>
      </c>
      <c r="R17" s="333">
        <f t="shared" si="4"/>
        <v>148.83116883116884</v>
      </c>
      <c r="S17" s="687"/>
      <c r="T17" s="88">
        <v>23.1</v>
      </c>
      <c r="V17" s="333"/>
      <c r="W17" s="333"/>
      <c r="X17" s="690"/>
      <c r="Y17" s="690"/>
      <c r="Z17" s="665"/>
      <c r="AB17" s="30"/>
      <c r="AC17" s="40" t="s">
        <v>967</v>
      </c>
      <c r="AD17" s="673">
        <f>+AD16-AD8</f>
        <v>15.969999999999999</v>
      </c>
      <c r="AE17" s="337">
        <f>+AE16-AE8</f>
        <v>658.61567738278393</v>
      </c>
      <c r="AF17" s="674">
        <f>+AF16-AF8</f>
        <v>2.1000000000000014</v>
      </c>
    </row>
    <row r="18" spans="2:34">
      <c r="B18" s="80">
        <v>2015</v>
      </c>
      <c r="C18" s="333">
        <v>471</v>
      </c>
      <c r="D18" s="677"/>
      <c r="E18" s="667">
        <v>8.9529999999999994</v>
      </c>
      <c r="F18" s="333">
        <v>403.01</v>
      </c>
      <c r="G18" s="681"/>
      <c r="H18" s="668">
        <v>7.5209999999999999</v>
      </c>
      <c r="I18" s="333">
        <f t="shared" si="1"/>
        <v>338.78378378378375</v>
      </c>
      <c r="J18" s="685"/>
      <c r="K18" s="667">
        <v>29.015999999999998</v>
      </c>
      <c r="L18" s="333">
        <f t="shared" si="2"/>
        <v>1307.0270270270271</v>
      </c>
      <c r="M18" s="687"/>
      <c r="N18" s="667">
        <v>17.100000000000001</v>
      </c>
      <c r="O18" s="333">
        <f t="shared" si="3"/>
        <v>770.27027027027043</v>
      </c>
      <c r="P18" s="53"/>
      <c r="Q18" s="668">
        <v>2.0760000000000001</v>
      </c>
      <c r="R18" s="333">
        <f t="shared" si="4"/>
        <v>93.513513513513516</v>
      </c>
      <c r="S18" s="687"/>
      <c r="T18" s="88">
        <v>22.2</v>
      </c>
      <c r="V18" s="333"/>
      <c r="W18" s="333"/>
      <c r="X18" s="690"/>
      <c r="Y18" s="690"/>
      <c r="Z18" s="665"/>
      <c r="AB18" s="30"/>
      <c r="AC18" s="41" t="s">
        <v>39</v>
      </c>
      <c r="AD18" s="672">
        <f>+(AD16-AD8)/AD8</f>
        <v>2.5341161536020311</v>
      </c>
      <c r="AE18" s="672">
        <f>+(AE16-AE8)/AE8</f>
        <v>2.2155906633632214</v>
      </c>
      <c r="AF18" s="672">
        <f>+(AF16-AF8)/AF8</f>
        <v>9.9056603773584981E-2</v>
      </c>
    </row>
    <row r="19" spans="2:34">
      <c r="B19" s="80">
        <v>2014</v>
      </c>
      <c r="C19" s="333">
        <v>524</v>
      </c>
      <c r="D19" s="677"/>
      <c r="E19" s="667">
        <v>8.3610000000000007</v>
      </c>
      <c r="F19" s="333">
        <v>394.83</v>
      </c>
      <c r="G19" s="681"/>
      <c r="H19" s="668">
        <v>6.3019999999999996</v>
      </c>
      <c r="I19" s="333">
        <f t="shared" si="1"/>
        <v>297.2641509433962</v>
      </c>
      <c r="J19" s="685"/>
      <c r="K19" s="667">
        <v>26.193000000000001</v>
      </c>
      <c r="L19" s="333">
        <f t="shared" si="2"/>
        <v>1235.5188679245284</v>
      </c>
      <c r="M19" s="687"/>
      <c r="N19" s="667">
        <v>15.1</v>
      </c>
      <c r="O19" s="333">
        <f t="shared" si="3"/>
        <v>712.2641509433962</v>
      </c>
      <c r="P19" s="53"/>
      <c r="Q19" s="668">
        <v>1.966</v>
      </c>
      <c r="R19" s="333">
        <f t="shared" si="4"/>
        <v>92.735849056603769</v>
      </c>
      <c r="S19" s="687"/>
      <c r="T19" s="88">
        <v>21.2</v>
      </c>
      <c r="V19" s="333"/>
      <c r="W19" s="333"/>
      <c r="X19" s="690"/>
      <c r="Y19" s="690"/>
      <c r="Z19" s="665"/>
      <c r="AB19" s="30"/>
    </row>
    <row r="20" spans="2:34">
      <c r="B20" s="80">
        <v>2013</v>
      </c>
      <c r="C20" s="333">
        <v>400.06</v>
      </c>
      <c r="D20" s="677"/>
      <c r="E20" s="667">
        <v>7.1870000000000003</v>
      </c>
      <c r="F20" s="333">
        <v>339</v>
      </c>
      <c r="G20" s="681"/>
      <c r="H20" s="668">
        <v>6.0359999999999996</v>
      </c>
      <c r="I20" s="333">
        <f t="shared" si="1"/>
        <v>284.71698113207543</v>
      </c>
      <c r="J20" s="685"/>
      <c r="K20" s="667">
        <v>24.861999999999998</v>
      </c>
      <c r="L20" s="333">
        <f t="shared" si="2"/>
        <v>1172.7358490566037</v>
      </c>
      <c r="M20" s="687"/>
      <c r="N20" s="667">
        <v>15.6</v>
      </c>
      <c r="O20" s="333">
        <f t="shared" si="3"/>
        <v>735.84905660377365</v>
      </c>
      <c r="P20" s="53"/>
      <c r="Q20" s="668">
        <v>1.7529999999999999</v>
      </c>
      <c r="R20" s="333">
        <f t="shared" si="4"/>
        <v>82.688679245283012</v>
      </c>
      <c r="S20" s="687"/>
      <c r="T20" s="88">
        <v>21.2</v>
      </c>
      <c r="V20" s="333"/>
      <c r="W20" s="333"/>
      <c r="X20" s="690"/>
      <c r="Y20" s="690"/>
      <c r="Z20" s="665"/>
      <c r="AB20" s="30"/>
      <c r="AC20" s="694" t="s">
        <v>986</v>
      </c>
      <c r="AD20" s="695">
        <f>+AD12-AD8</f>
        <v>6.1289999999999996</v>
      </c>
      <c r="AE20" s="695">
        <f>+AE12-AE8</f>
        <v>159.75790788013319</v>
      </c>
      <c r="AF20" s="696">
        <f>+AF12-AF8</f>
        <v>6</v>
      </c>
    </row>
    <row r="21" spans="2:34">
      <c r="B21" s="80">
        <v>2012</v>
      </c>
      <c r="C21" s="333">
        <v>361</v>
      </c>
      <c r="D21" s="677"/>
      <c r="E21" s="667">
        <v>7.6550000000000002</v>
      </c>
      <c r="F21" s="333">
        <v>378.1</v>
      </c>
      <c r="G21" s="681"/>
      <c r="H21" s="668">
        <v>6.2</v>
      </c>
      <c r="I21" s="333">
        <f t="shared" si="1"/>
        <v>306.93069306930693</v>
      </c>
      <c r="J21" s="685"/>
      <c r="K21" s="667">
        <v>26.094000000000001</v>
      </c>
      <c r="L21" s="333">
        <f t="shared" si="2"/>
        <v>1291.7821782178219</v>
      </c>
      <c r="M21" s="687"/>
      <c r="N21" s="667">
        <v>15.879</v>
      </c>
      <c r="O21" s="333">
        <f t="shared" si="3"/>
        <v>786.08910891089113</v>
      </c>
      <c r="P21" s="53"/>
      <c r="Q21" s="668">
        <v>1.921</v>
      </c>
      <c r="R21" s="333">
        <f t="shared" si="4"/>
        <v>95.099009900990097</v>
      </c>
      <c r="S21" s="687"/>
      <c r="T21" s="88">
        <v>20.2</v>
      </c>
      <c r="V21" s="333"/>
      <c r="W21" s="333"/>
      <c r="X21" s="690"/>
      <c r="Y21" s="690"/>
      <c r="Z21" s="665"/>
      <c r="AB21" s="30"/>
      <c r="AC21" s="101" t="s">
        <v>39</v>
      </c>
      <c r="AD21" s="697">
        <f>+AD20/AD8</f>
        <v>0.97254839733417964</v>
      </c>
      <c r="AE21" s="697">
        <f>+AE20/AE8</f>
        <v>0.53742742733399296</v>
      </c>
      <c r="AF21" s="509">
        <f>+AF20/AF8</f>
        <v>0.28301886792452829</v>
      </c>
    </row>
    <row r="22" spans="2:34">
      <c r="B22" s="80">
        <v>2011</v>
      </c>
      <c r="C22" s="333">
        <v>431.2</v>
      </c>
      <c r="D22" s="677"/>
      <c r="E22" s="667">
        <v>7.4279999999999999</v>
      </c>
      <c r="F22" s="333">
        <v>364.55</v>
      </c>
      <c r="G22" s="681"/>
      <c r="H22" s="668">
        <v>5.6079999999999997</v>
      </c>
      <c r="I22" s="333">
        <f t="shared" si="1"/>
        <v>274.9019607843137</v>
      </c>
      <c r="J22" s="685"/>
      <c r="K22" s="667">
        <v>24.323</v>
      </c>
      <c r="L22" s="333">
        <f t="shared" si="2"/>
        <v>1192.3039215686276</v>
      </c>
      <c r="M22" s="687"/>
      <c r="N22" s="667">
        <v>14.398999999999999</v>
      </c>
      <c r="O22" s="333">
        <f t="shared" si="3"/>
        <v>705.83333333333326</v>
      </c>
      <c r="P22" s="53"/>
      <c r="Q22" s="668">
        <v>2.056</v>
      </c>
      <c r="R22" s="333">
        <f t="shared" si="4"/>
        <v>100.78431372549021</v>
      </c>
      <c r="S22" s="687"/>
      <c r="T22" s="88">
        <v>20.399999999999999</v>
      </c>
      <c r="V22" s="333"/>
      <c r="W22" s="333"/>
      <c r="X22" s="690"/>
      <c r="Y22" s="690"/>
      <c r="Z22" s="665"/>
      <c r="AB22" s="30"/>
      <c r="AC22" s="694" t="s">
        <v>987</v>
      </c>
      <c r="AD22" s="695">
        <f>+AD16-AD12</f>
        <v>9.8409999999999993</v>
      </c>
      <c r="AE22" s="695">
        <f>+AE16-AE12</f>
        <v>498.85776950265074</v>
      </c>
      <c r="AF22" s="696">
        <f>+AF16-AF12</f>
        <v>-3.8999999999999986</v>
      </c>
    </row>
    <row r="23" spans="2:34">
      <c r="B23" s="80">
        <v>2010</v>
      </c>
      <c r="C23" s="333">
        <v>409.56</v>
      </c>
      <c r="D23" s="677"/>
      <c r="E23" s="667">
        <v>7.6980000000000004</v>
      </c>
      <c r="F23" s="333">
        <v>376.33</v>
      </c>
      <c r="G23" s="681"/>
      <c r="H23" s="668">
        <v>4.4489999999999998</v>
      </c>
      <c r="I23" s="333">
        <f t="shared" si="1"/>
        <v>217.02439024390245</v>
      </c>
      <c r="J23" s="685"/>
      <c r="K23" s="667">
        <v>23.3</v>
      </c>
      <c r="L23" s="333">
        <f t="shared" si="2"/>
        <v>1136.5853658536587</v>
      </c>
      <c r="M23" s="687"/>
      <c r="N23" s="667">
        <v>13.11</v>
      </c>
      <c r="O23" s="333">
        <f t="shared" si="3"/>
        <v>639.51219512195121</v>
      </c>
      <c r="P23" s="53"/>
      <c r="Q23" s="668">
        <v>1.2549999999999999</v>
      </c>
      <c r="R23" s="333">
        <f t="shared" si="4"/>
        <v>61.219512195121943</v>
      </c>
      <c r="S23" s="687"/>
      <c r="T23" s="88">
        <v>20.5</v>
      </c>
      <c r="V23" s="333"/>
      <c r="W23" s="333"/>
      <c r="X23" s="690"/>
      <c r="Y23" s="690"/>
      <c r="Z23" s="665"/>
      <c r="AB23" s="30"/>
      <c r="AC23" s="101" t="s">
        <v>39</v>
      </c>
      <c r="AD23" s="697">
        <f>+AD22/AD12</f>
        <v>0.79164990748934116</v>
      </c>
      <c r="AE23" s="697">
        <f>+AE22/AE12</f>
        <v>1.0915398061678143</v>
      </c>
      <c r="AF23" s="509">
        <f>+AF22/AF12</f>
        <v>-0.14338235294117643</v>
      </c>
    </row>
    <row r="24" spans="2:34">
      <c r="B24" s="80">
        <v>2009</v>
      </c>
      <c r="C24" s="333">
        <v>389.96</v>
      </c>
      <c r="D24" s="677"/>
      <c r="E24" s="667">
        <v>7.3920000000000003</v>
      </c>
      <c r="F24" s="333">
        <v>369.8</v>
      </c>
      <c r="G24" s="681"/>
      <c r="H24" s="668">
        <v>4.2859999999999996</v>
      </c>
      <c r="I24" s="333">
        <f t="shared" si="1"/>
        <v>214.29999999999998</v>
      </c>
      <c r="J24" s="685"/>
      <c r="K24" s="667">
        <v>21.273</v>
      </c>
      <c r="L24" s="333">
        <f t="shared" si="2"/>
        <v>1063.6500000000001</v>
      </c>
      <c r="M24" s="687"/>
      <c r="N24" s="667">
        <v>11.537000000000001</v>
      </c>
      <c r="O24" s="333">
        <f t="shared" si="3"/>
        <v>576.85000000000014</v>
      </c>
      <c r="P24" s="53"/>
      <c r="Q24" s="668">
        <v>1.071</v>
      </c>
      <c r="R24" s="333">
        <f t="shared" si="4"/>
        <v>53.55</v>
      </c>
      <c r="S24" s="687"/>
      <c r="T24" s="88">
        <v>20</v>
      </c>
      <c r="V24" s="333">
        <f>+H24*0.05*1000</f>
        <v>214.29999999999998</v>
      </c>
      <c r="W24" s="333">
        <f>+V24/T24</f>
        <v>10.715</v>
      </c>
      <c r="X24" s="333">
        <f>+K24*0.06*1000</f>
        <v>1276.3799999999999</v>
      </c>
      <c r="Y24" s="333">
        <f>+V24+X24</f>
        <v>1490.6799999999998</v>
      </c>
      <c r="Z24" s="665">
        <f>+Y24/T24</f>
        <v>74.533999999999992</v>
      </c>
      <c r="AB24" s="30"/>
    </row>
    <row r="25" spans="2:34">
      <c r="B25" s="51"/>
      <c r="C25" s="69"/>
      <c r="D25" s="678"/>
      <c r="E25" s="666"/>
      <c r="F25" s="69"/>
      <c r="G25" s="682"/>
      <c r="H25" s="69"/>
      <c r="I25" s="69"/>
      <c r="J25" s="682"/>
      <c r="K25" s="73"/>
      <c r="L25" s="69"/>
      <c r="M25" s="52"/>
      <c r="N25" s="73"/>
      <c r="O25" s="69"/>
      <c r="Q25" s="69"/>
      <c r="R25" s="69"/>
      <c r="S25" s="52"/>
      <c r="T25" s="69"/>
      <c r="V25" s="333"/>
      <c r="W25" s="333"/>
      <c r="AB25" s="42"/>
    </row>
    <row r="26" spans="2:34">
      <c r="B26" s="71" t="s">
        <v>967</v>
      </c>
      <c r="C26" s="337">
        <f>+C11-C24</f>
        <v>204.16000000000003</v>
      </c>
      <c r="D26" s="678"/>
      <c r="E26" s="673">
        <f>+E11-E24</f>
        <v>7.948999999999999</v>
      </c>
      <c r="F26" s="337">
        <f>+F11-F24</f>
        <v>287.87999999999994</v>
      </c>
      <c r="G26" s="683"/>
      <c r="H26" s="673">
        <f>+H11-H24</f>
        <v>17.985999999999997</v>
      </c>
      <c r="I26" s="337">
        <f>+I11-I24</f>
        <v>741.57982832618018</v>
      </c>
      <c r="J26" s="683"/>
      <c r="K26" s="673">
        <f>+K11-K24</f>
        <v>34.204999999999998</v>
      </c>
      <c r="L26" s="337">
        <f>+L11-L24</f>
        <v>1317.3800429184548</v>
      </c>
      <c r="M26" s="683"/>
      <c r="N26" s="673">
        <f>+N11-N24</f>
        <v>19.692999999999998</v>
      </c>
      <c r="O26" s="337">
        <f>+O11-O24</f>
        <v>763.49334763948491</v>
      </c>
      <c r="P26" s="469"/>
      <c r="Q26" s="673">
        <f>+Q11-Q24</f>
        <v>6.2280000000000006</v>
      </c>
      <c r="R26" s="337">
        <f>+R11-R24</f>
        <v>259.7118025751073</v>
      </c>
      <c r="S26" s="683"/>
      <c r="T26" s="674">
        <f>+T11-T24</f>
        <v>3.3000000000000007</v>
      </c>
      <c r="V26" s="318">
        <f>+V11-V24</f>
        <v>899.3</v>
      </c>
      <c r="W26" s="642"/>
      <c r="Y26" s="53">
        <f>+Y11-Y24</f>
        <v>2951.6</v>
      </c>
      <c r="Z26" s="636">
        <f>+Z11-Z24</f>
        <v>116.1217939914163</v>
      </c>
      <c r="AB26" s="30"/>
    </row>
    <row r="27" spans="2:34">
      <c r="B27" s="41" t="s">
        <v>774</v>
      </c>
      <c r="C27" s="672">
        <f>+(C11-C24)/C24</f>
        <v>0.52354087598728083</v>
      </c>
      <c r="D27" s="679"/>
      <c r="E27" s="672">
        <f>+(E11-E24)/E24</f>
        <v>1.0753517316017314</v>
      </c>
      <c r="F27" s="672">
        <f>+(F11-F24)/F24</f>
        <v>0.77847485127095706</v>
      </c>
      <c r="G27" s="684"/>
      <c r="H27" s="672">
        <f>+(H11-H24)/H24</f>
        <v>4.1964535697620153</v>
      </c>
      <c r="I27" s="672">
        <f>+(I11-I24)/I24</f>
        <v>3.4604751671776959</v>
      </c>
      <c r="J27" s="684"/>
      <c r="K27" s="672">
        <f>+(K11-K24)/K24</f>
        <v>1.6079067362384243</v>
      </c>
      <c r="L27" s="672">
        <f>+(L11-L24)/L24</f>
        <v>1.2385465547110937</v>
      </c>
      <c r="M27" s="688"/>
      <c r="N27" s="672">
        <f>+(N11-N24)/N24</f>
        <v>1.7069428794313943</v>
      </c>
      <c r="O27" s="672">
        <f>+(O11-O24)/O24</f>
        <v>1.3235561196836001</v>
      </c>
      <c r="P27" s="827"/>
      <c r="Q27" s="672">
        <f>+(Q11-Q24)/Q24</f>
        <v>5.8151260504201687</v>
      </c>
      <c r="R27" s="672">
        <f>+(R11-R24)/R24</f>
        <v>4.8498936055108741</v>
      </c>
      <c r="S27" s="688"/>
      <c r="T27" s="672">
        <f>+(T11-T24)/T24</f>
        <v>0.16500000000000004</v>
      </c>
      <c r="V27" s="401"/>
      <c r="W27" s="401"/>
      <c r="Y27" s="492">
        <f>+Y26/Y24</f>
        <v>1.9800359567445731</v>
      </c>
      <c r="Z27" s="492">
        <f>+Z26/Z24</f>
        <v>1.5579707783215218</v>
      </c>
    </row>
    <row r="28" spans="2:34">
      <c r="AE28" s="40">
        <v>2017</v>
      </c>
      <c r="AF28" s="40">
        <v>2022</v>
      </c>
      <c r="AG28" s="305" t="s">
        <v>967</v>
      </c>
      <c r="AH28" s="129"/>
    </row>
    <row r="29" spans="2:34">
      <c r="F29" t="s">
        <v>965</v>
      </c>
      <c r="AE29" s="90" t="s">
        <v>1007</v>
      </c>
      <c r="AF29" s="90" t="s">
        <v>1007</v>
      </c>
      <c r="AG29" s="39" t="s">
        <v>984</v>
      </c>
      <c r="AH29" s="39" t="s">
        <v>39</v>
      </c>
    </row>
    <row r="30" spans="2:34">
      <c r="F30" t="s">
        <v>966</v>
      </c>
      <c r="AC30" s="50" t="s">
        <v>971</v>
      </c>
      <c r="AD30" s="28"/>
      <c r="AE30" s="647">
        <f>+Q16</f>
        <v>4.0570000000000004</v>
      </c>
      <c r="AF30" s="647">
        <f>+Q11</f>
        <v>7.2990000000000004</v>
      </c>
      <c r="AG30" s="647">
        <f>+AF30-AE30</f>
        <v>3.242</v>
      </c>
      <c r="AH30" s="209">
        <f>+AG30/AE30</f>
        <v>0.79911264481143696</v>
      </c>
    </row>
    <row r="31" spans="2:34">
      <c r="F31" t="s">
        <v>973</v>
      </c>
      <c r="AC31" s="50" t="s">
        <v>1006</v>
      </c>
      <c r="AD31" s="28"/>
      <c r="AE31" s="647">
        <f>+E16</f>
        <v>12.476000000000001</v>
      </c>
      <c r="AF31" s="647">
        <f>+E11</f>
        <v>15.340999999999999</v>
      </c>
      <c r="AG31" s="647">
        <f>+AF31-AE31</f>
        <v>2.8649999999999984</v>
      </c>
      <c r="AH31" s="209">
        <f>+AG31/AE31</f>
        <v>0.2296409105482525</v>
      </c>
    </row>
    <row r="34" spans="6:51">
      <c r="F34">
        <v>12</v>
      </c>
      <c r="H34" s="612">
        <v>6.2</v>
      </c>
      <c r="I34">
        <v>0.13500000000000001</v>
      </c>
      <c r="K34">
        <v>14</v>
      </c>
      <c r="L34">
        <v>6.3</v>
      </c>
      <c r="Q34">
        <v>0.17</v>
      </c>
    </row>
    <row r="35" spans="6:51">
      <c r="F35">
        <v>13</v>
      </c>
      <c r="H35" s="612">
        <f t="shared" ref="H35:H44" si="5">+H34*(1+$I$34)</f>
        <v>7.0369999999999999</v>
      </c>
      <c r="K35">
        <v>15</v>
      </c>
      <c r="L35" s="612">
        <f t="shared" ref="L35:L42" si="6">+L34*(1+$Q$34)</f>
        <v>7.3709999999999996</v>
      </c>
    </row>
    <row r="36" spans="6:51">
      <c r="F36">
        <v>14</v>
      </c>
      <c r="H36" s="612">
        <f t="shared" si="5"/>
        <v>7.9869950000000003</v>
      </c>
      <c r="K36">
        <v>16</v>
      </c>
      <c r="L36" s="612">
        <f t="shared" si="6"/>
        <v>8.6240699999999997</v>
      </c>
    </row>
    <row r="37" spans="6:51">
      <c r="F37">
        <v>15</v>
      </c>
      <c r="H37" s="612">
        <f t="shared" si="5"/>
        <v>9.0652393250000003</v>
      </c>
      <c r="K37">
        <v>17</v>
      </c>
      <c r="L37" s="612">
        <f t="shared" si="6"/>
        <v>10.090161899999998</v>
      </c>
    </row>
    <row r="38" spans="6:51">
      <c r="F38">
        <v>16</v>
      </c>
      <c r="H38" s="612">
        <f t="shared" si="5"/>
        <v>10.289046633875001</v>
      </c>
      <c r="K38">
        <v>18</v>
      </c>
      <c r="L38" s="612">
        <f t="shared" si="6"/>
        <v>11.805489422999997</v>
      </c>
    </row>
    <row r="39" spans="6:51">
      <c r="F39">
        <v>17</v>
      </c>
      <c r="H39" s="612">
        <f t="shared" si="5"/>
        <v>11.678067929448126</v>
      </c>
      <c r="K39">
        <v>19</v>
      </c>
      <c r="L39" s="612">
        <f t="shared" si="6"/>
        <v>13.812422624909996</v>
      </c>
      <c r="AA39" s="9" t="s">
        <v>1359</v>
      </c>
      <c r="AE39" s="40" t="s">
        <v>962</v>
      </c>
      <c r="AH39" s="42"/>
      <c r="AU39" s="54"/>
      <c r="AV39" s="53"/>
    </row>
    <row r="40" spans="6:51">
      <c r="F40">
        <v>18</v>
      </c>
      <c r="H40" s="612">
        <f t="shared" si="5"/>
        <v>13.254607099923623</v>
      </c>
      <c r="K40">
        <v>20</v>
      </c>
      <c r="L40" s="612">
        <f t="shared" si="6"/>
        <v>16.160534471144693</v>
      </c>
      <c r="AA40" s="42"/>
      <c r="AB40" s="151" t="s">
        <v>956</v>
      </c>
      <c r="AE40" s="51" t="s">
        <v>963</v>
      </c>
      <c r="AG40" s="40" t="s">
        <v>959</v>
      </c>
      <c r="AH40" s="42"/>
      <c r="AI40" s="40" t="s">
        <v>958</v>
      </c>
      <c r="AO40" s="42"/>
      <c r="AP40" s="42"/>
      <c r="AQ40" s="42"/>
      <c r="AT40" s="42"/>
      <c r="AU40" s="2168"/>
      <c r="AV40" s="2168"/>
      <c r="AW40" s="42"/>
      <c r="AX40" s="42"/>
      <c r="AY40" s="42"/>
    </row>
    <row r="41" spans="6:51">
      <c r="F41">
        <v>19</v>
      </c>
      <c r="H41" s="612">
        <f t="shared" si="5"/>
        <v>15.043979058413312</v>
      </c>
      <c r="K41">
        <v>21</v>
      </c>
      <c r="L41" s="612">
        <f t="shared" si="6"/>
        <v>18.907825331239291</v>
      </c>
      <c r="AA41" s="42"/>
      <c r="AB41" s="71" t="s">
        <v>928</v>
      </c>
      <c r="AE41" s="51" t="s">
        <v>964</v>
      </c>
      <c r="AG41" s="51" t="s">
        <v>960</v>
      </c>
      <c r="AH41" s="151" t="s">
        <v>913</v>
      </c>
      <c r="AI41" s="51" t="s">
        <v>170</v>
      </c>
      <c r="AJ41" s="669"/>
      <c r="AL41" s="669"/>
      <c r="AP41" s="42"/>
      <c r="AQ41" s="42"/>
      <c r="AT41" s="42"/>
      <c r="AU41" s="2168"/>
      <c r="AV41" s="2168"/>
      <c r="AW41" s="42"/>
      <c r="AX41" s="2160"/>
      <c r="AY41" s="2160"/>
    </row>
    <row r="42" spans="6:51">
      <c r="F42">
        <v>20</v>
      </c>
      <c r="H42" s="612">
        <f t="shared" si="5"/>
        <v>17.07491623129911</v>
      </c>
      <c r="K42">
        <v>22</v>
      </c>
      <c r="L42" s="612">
        <f t="shared" si="6"/>
        <v>22.122155637549969</v>
      </c>
      <c r="AA42" s="42"/>
      <c r="AB42" s="101" t="s">
        <v>957</v>
      </c>
      <c r="AC42" s="1142" t="s">
        <v>970</v>
      </c>
      <c r="AD42" s="1134" t="s">
        <v>1155</v>
      </c>
      <c r="AE42" s="41" t="s">
        <v>446</v>
      </c>
      <c r="AF42" s="305" t="s">
        <v>971</v>
      </c>
      <c r="AG42" s="41" t="s">
        <v>961</v>
      </c>
      <c r="AH42" s="101" t="s">
        <v>10</v>
      </c>
      <c r="AI42" s="41" t="s">
        <v>45</v>
      </c>
      <c r="AJ42" s="501"/>
      <c r="AL42" s="501"/>
      <c r="AQ42" s="42"/>
      <c r="AT42" s="42"/>
      <c r="AU42" s="2160"/>
      <c r="AV42" s="2160"/>
      <c r="AW42" s="42"/>
      <c r="AX42" s="2160"/>
      <c r="AY42" s="2160"/>
    </row>
    <row r="43" spans="6:51">
      <c r="F43">
        <v>21</v>
      </c>
      <c r="H43" s="612">
        <f t="shared" si="5"/>
        <v>19.380029922524489</v>
      </c>
      <c r="AA43" s="675">
        <v>45291</v>
      </c>
      <c r="AB43" s="500" t="s">
        <v>1354</v>
      </c>
      <c r="AC43" s="500" t="s">
        <v>1354</v>
      </c>
      <c r="AD43" s="500" t="s">
        <v>1354</v>
      </c>
      <c r="AE43" s="500" t="s">
        <v>1354</v>
      </c>
      <c r="AF43" s="500" t="s">
        <v>1354</v>
      </c>
      <c r="AG43" s="491" t="s">
        <v>1247</v>
      </c>
      <c r="AH43" s="491" t="s">
        <v>969</v>
      </c>
      <c r="AI43" s="1141" t="s">
        <v>42</v>
      </c>
      <c r="AK43" s="492">
        <f>+AF44/AB44</f>
        <v>0.28208586199145874</v>
      </c>
      <c r="AQ43" s="501"/>
      <c r="AU43" s="1135"/>
      <c r="AV43" s="1135"/>
      <c r="AW43" s="1135"/>
      <c r="AX43" s="1135"/>
      <c r="AY43" s="1135"/>
    </row>
    <row r="44" spans="6:51">
      <c r="F44">
        <v>22</v>
      </c>
      <c r="H44" s="612">
        <f t="shared" si="5"/>
        <v>21.996333962065297</v>
      </c>
      <c r="AA44" s="45">
        <v>2010</v>
      </c>
      <c r="AB44" s="647">
        <v>4.4489999999999998</v>
      </c>
      <c r="AC44" s="647">
        <v>23.3</v>
      </c>
      <c r="AD44" s="647">
        <v>13.11</v>
      </c>
      <c r="AE44" s="647">
        <v>7.6980000000000004</v>
      </c>
      <c r="AF44" s="647">
        <v>1.2549999999999999</v>
      </c>
      <c r="AG44" s="1143">
        <v>20.5</v>
      </c>
      <c r="AH44" s="318">
        <v>376.33</v>
      </c>
      <c r="AI44" s="318">
        <v>409.56</v>
      </c>
      <c r="AJ44" s="53"/>
      <c r="AL44" s="53"/>
      <c r="AU44" s="53"/>
      <c r="AV44" s="53"/>
    </row>
    <row r="45" spans="6:51">
      <c r="H45" s="612"/>
      <c r="K45">
        <v>14</v>
      </c>
      <c r="L45">
        <v>6.3</v>
      </c>
      <c r="AA45" s="45">
        <v>2020</v>
      </c>
      <c r="AB45" s="647">
        <v>14.865</v>
      </c>
      <c r="AC45" s="647">
        <f>43171/1000</f>
        <v>43.170999999999999</v>
      </c>
      <c r="AD45" s="647">
        <v>24.277999999999999</v>
      </c>
      <c r="AE45" s="647">
        <v>12.621</v>
      </c>
      <c r="AF45" s="647">
        <v>7.585</v>
      </c>
      <c r="AG45" s="1143">
        <v>26.2</v>
      </c>
      <c r="AH45" s="318">
        <v>478.33</v>
      </c>
      <c r="AI45" s="318">
        <v>340.94</v>
      </c>
      <c r="AJ45" s="53"/>
      <c r="AL45" s="53"/>
      <c r="AQ45" s="53"/>
      <c r="AU45" s="53"/>
      <c r="AV45" s="53"/>
      <c r="AW45" s="53"/>
      <c r="AX45" s="53"/>
      <c r="AY45" s="636"/>
    </row>
    <row r="46" spans="6:51">
      <c r="K46">
        <v>18</v>
      </c>
      <c r="L46">
        <v>11.8</v>
      </c>
      <c r="AA46" s="45" t="s">
        <v>774</v>
      </c>
      <c r="AB46" s="209">
        <f t="shared" ref="AB46:AI46" si="7">(+AB45-AB44)/AB44</f>
        <v>2.3412002697235335</v>
      </c>
      <c r="AC46" s="209">
        <f t="shared" si="7"/>
        <v>0.85283261802575094</v>
      </c>
      <c r="AD46" s="209">
        <f t="shared" si="7"/>
        <v>0.85186880244088481</v>
      </c>
      <c r="AE46" s="209">
        <f t="shared" si="7"/>
        <v>0.63951675759937643</v>
      </c>
      <c r="AF46" s="209">
        <f t="shared" si="7"/>
        <v>5.04382470119522</v>
      </c>
      <c r="AG46" s="1144">
        <f t="shared" si="7"/>
        <v>0.27804878048780485</v>
      </c>
      <c r="AH46" s="209">
        <f t="shared" si="7"/>
        <v>0.27103871602051394</v>
      </c>
      <c r="AI46" s="209">
        <f t="shared" si="7"/>
        <v>-0.16754565875573788</v>
      </c>
      <c r="AJ46" s="361"/>
      <c r="AL46" s="361"/>
      <c r="AQ46" s="53"/>
      <c r="AU46" s="53"/>
      <c r="AV46" s="53"/>
      <c r="AW46" s="1136"/>
      <c r="AX46" s="1136"/>
      <c r="AY46" s="636"/>
    </row>
    <row r="47" spans="6:51">
      <c r="L47">
        <f>+L46-L45</f>
        <v>5.5000000000000009</v>
      </c>
      <c r="AQ47" s="361"/>
      <c r="AU47" s="53"/>
      <c r="AV47" s="53"/>
      <c r="AW47" s="1136"/>
      <c r="AX47" s="1136"/>
      <c r="AY47" s="636"/>
    </row>
    <row r="48" spans="6:51">
      <c r="L48" s="492">
        <f>+L47/L45</f>
        <v>0.87301587301587313</v>
      </c>
      <c r="AA48" s="45">
        <v>2021</v>
      </c>
      <c r="AB48" s="647">
        <v>18.277999999999999</v>
      </c>
      <c r="AC48" s="647">
        <f>53023/1000</f>
        <v>53.023000000000003</v>
      </c>
      <c r="AD48" s="647">
        <v>27.837</v>
      </c>
      <c r="AE48" s="647">
        <v>15.05</v>
      </c>
      <c r="AF48" s="647">
        <v>6.3070000000000004</v>
      </c>
      <c r="AG48" s="1143">
        <v>23.9</v>
      </c>
      <c r="AH48" s="318">
        <v>630.6</v>
      </c>
      <c r="AI48" s="318">
        <v>492.13</v>
      </c>
      <c r="AJ48" s="53"/>
      <c r="AL48" s="53"/>
      <c r="AU48" s="53"/>
      <c r="AV48" s="53"/>
      <c r="AW48" s="1136"/>
      <c r="AX48" s="1136"/>
      <c r="AY48" s="636"/>
    </row>
    <row r="49" spans="27:51">
      <c r="AA49" s="45">
        <v>2022</v>
      </c>
      <c r="AB49" s="647">
        <v>22.271999999999998</v>
      </c>
      <c r="AC49" s="647">
        <f>55478/1000</f>
        <v>55.478000000000002</v>
      </c>
      <c r="AD49" s="647">
        <v>31.23</v>
      </c>
      <c r="AE49" s="647">
        <v>15.340999999999999</v>
      </c>
      <c r="AF49" s="647">
        <v>7.2990000000000004</v>
      </c>
      <c r="AG49" s="1143">
        <v>23.3</v>
      </c>
      <c r="AH49" s="318">
        <v>657.68</v>
      </c>
      <c r="AI49" s="318">
        <v>594.12</v>
      </c>
      <c r="AK49">
        <f>+AE49/AG49</f>
        <v>0.65841201716738196</v>
      </c>
      <c r="AQ49" s="53"/>
      <c r="AU49" s="53"/>
      <c r="AV49" s="53"/>
      <c r="AW49" s="1136"/>
      <c r="AX49" s="1136"/>
      <c r="AY49" s="636"/>
    </row>
    <row r="50" spans="27:51">
      <c r="AA50" s="763" t="s">
        <v>815</v>
      </c>
      <c r="AB50" s="1146">
        <v>23.7</v>
      </c>
      <c r="AC50" s="1146">
        <v>58</v>
      </c>
      <c r="AD50" s="1146">
        <v>32.700000000000003</v>
      </c>
      <c r="AE50" s="1146">
        <f>+AH50*AG50/1000</f>
        <v>21.413599999999999</v>
      </c>
      <c r="AF50" s="1146">
        <v>7.5</v>
      </c>
      <c r="AG50" s="978">
        <v>23.2</v>
      </c>
      <c r="AH50" s="765">
        <v>923</v>
      </c>
      <c r="AI50" s="765">
        <v>921</v>
      </c>
      <c r="AK50" s="492">
        <f>+AF50/AB50</f>
        <v>0.31645569620253167</v>
      </c>
      <c r="AL50" s="42"/>
      <c r="AM50" s="42"/>
      <c r="AN50" s="42"/>
      <c r="AO50" s="42"/>
      <c r="AQ50" s="53"/>
      <c r="AU50" s="53"/>
      <c r="AV50" s="53"/>
      <c r="AW50" s="1136"/>
      <c r="AX50" s="1136"/>
      <c r="AY50" s="636"/>
    </row>
    <row r="51" spans="27:51">
      <c r="AA51" s="45" t="s">
        <v>774</v>
      </c>
      <c r="AB51" s="209">
        <f>(+AB50-AB44)/AB44</f>
        <v>4.3270397842211725</v>
      </c>
      <c r="AC51" s="209">
        <f t="shared" ref="AC51:AI51" si="8">(+AC50-AC44)/AC44</f>
        <v>1.4892703862660945</v>
      </c>
      <c r="AD51" s="209">
        <f t="shared" si="8"/>
        <v>1.4942791762013734</v>
      </c>
      <c r="AE51" s="209">
        <f t="shared" si="8"/>
        <v>1.781709534944141</v>
      </c>
      <c r="AF51" s="209">
        <f t="shared" si="8"/>
        <v>4.9760956175298814</v>
      </c>
      <c r="AG51" s="209">
        <f t="shared" si="8"/>
        <v>0.13170731707317071</v>
      </c>
      <c r="AH51" s="209">
        <f t="shared" si="8"/>
        <v>1.4526346557542584</v>
      </c>
      <c r="AI51" s="209">
        <f t="shared" si="8"/>
        <v>1.2487547612071492</v>
      </c>
      <c r="AK51" s="42"/>
      <c r="AL51" s="42"/>
      <c r="AM51" s="42"/>
      <c r="AN51" s="42"/>
      <c r="AO51" s="42"/>
      <c r="AQ51" s="53"/>
      <c r="AU51" s="53"/>
      <c r="AV51" s="53"/>
      <c r="AW51" s="1136"/>
      <c r="AX51" s="1136"/>
      <c r="AY51" s="636"/>
    </row>
    <row r="52" spans="27:51">
      <c r="AA52" s="30"/>
      <c r="AE52" s="42"/>
      <c r="AK52" s="1123"/>
      <c r="AL52" s="669"/>
      <c r="AN52" s="11"/>
      <c r="AO52" s="42"/>
      <c r="AQ52" s="53"/>
      <c r="AU52" s="53"/>
      <c r="AV52" s="53"/>
      <c r="AW52" s="1136"/>
      <c r="AX52" s="1136"/>
      <c r="AY52" s="636"/>
    </row>
    <row r="53" spans="27:51">
      <c r="AA53" s="42"/>
      <c r="AB53" s="11"/>
      <c r="AE53" s="42"/>
      <c r="AG53" s="42"/>
      <c r="AI53" s="42"/>
      <c r="AK53" s="501"/>
      <c r="AL53" s="501"/>
      <c r="AN53" s="501"/>
      <c r="AQ53" s="53"/>
      <c r="AU53" s="53"/>
      <c r="AV53" s="53"/>
      <c r="AW53" s="1136"/>
      <c r="AX53" s="1136"/>
      <c r="AY53" s="636"/>
    </row>
    <row r="54" spans="27:51">
      <c r="AA54" s="42"/>
      <c r="AB54" s="11"/>
      <c r="AE54" s="42"/>
      <c r="AG54" s="42"/>
      <c r="AH54" s="42"/>
      <c r="AI54" s="42"/>
      <c r="AQ54" s="53"/>
      <c r="AU54" s="53"/>
      <c r="AV54" s="53"/>
      <c r="AW54" s="1136"/>
      <c r="AX54" s="1136"/>
      <c r="AY54" s="636"/>
    </row>
    <row r="55" spans="27:51">
      <c r="AA55" s="42"/>
      <c r="AB55" s="11"/>
      <c r="AC55" s="1123"/>
      <c r="AD55" s="1123"/>
      <c r="AE55" s="42"/>
      <c r="AF55" s="11"/>
      <c r="AG55" s="42"/>
      <c r="AH55" s="42"/>
      <c r="AI55" s="42"/>
      <c r="AK55" s="53"/>
      <c r="AL55" s="53"/>
      <c r="AN55" s="53"/>
      <c r="AO55" s="53"/>
      <c r="AQ55" s="53"/>
      <c r="AU55" s="53"/>
      <c r="AV55" s="53"/>
      <c r="AW55" s="1136"/>
      <c r="AX55" s="1136"/>
      <c r="AY55" s="636"/>
    </row>
    <row r="56" spans="27:51">
      <c r="AA56" s="1145"/>
      <c r="AB56" s="501"/>
      <c r="AC56" s="501"/>
      <c r="AD56" s="501"/>
      <c r="AE56" s="501"/>
      <c r="AF56" s="501"/>
      <c r="AH56" s="501"/>
      <c r="AI56" s="898"/>
      <c r="AK56" s="53"/>
      <c r="AL56" s="53"/>
      <c r="AN56" s="53"/>
      <c r="AO56" s="53"/>
      <c r="AQ56" s="53"/>
      <c r="AU56" s="53"/>
      <c r="AV56" s="53"/>
      <c r="AW56" s="1136"/>
      <c r="AX56" s="1136"/>
      <c r="AY56" s="636"/>
    </row>
    <row r="57" spans="27:51">
      <c r="AA57" s="30"/>
      <c r="AU57" s="53"/>
      <c r="AV57" s="53"/>
      <c r="AW57" s="1136"/>
      <c r="AX57" s="1136"/>
      <c r="AY57" s="636"/>
    </row>
    <row r="58" spans="27:51">
      <c r="AU58" s="53"/>
      <c r="AV58" s="53"/>
      <c r="AW58" s="1136"/>
      <c r="AX58" s="1136"/>
      <c r="AY58" s="636"/>
    </row>
    <row r="59" spans="27:51">
      <c r="AU59" s="53"/>
      <c r="AV59" s="53"/>
      <c r="AW59" s="1136"/>
      <c r="AX59" s="1136"/>
      <c r="AY59" s="636"/>
    </row>
    <row r="60" spans="27:51">
      <c r="AG60" s="62"/>
      <c r="AU60" s="53"/>
      <c r="AV60" s="53"/>
      <c r="AW60" s="1136"/>
      <c r="AX60" s="1136"/>
      <c r="AY60" s="636"/>
    </row>
    <row r="61" spans="27:51">
      <c r="AG61" s="62"/>
      <c r="AJ61" s="53"/>
      <c r="AL61" s="53"/>
      <c r="AU61" s="53"/>
      <c r="AV61" s="53"/>
      <c r="AW61" s="1136"/>
      <c r="AX61" s="1136"/>
      <c r="AY61" s="636"/>
    </row>
    <row r="62" spans="27:51">
      <c r="AA62" s="80">
        <v>2019</v>
      </c>
      <c r="AB62" s="668">
        <v>13.836</v>
      </c>
      <c r="AC62" s="667">
        <f>39005/1000</f>
        <v>39.005000000000003</v>
      </c>
      <c r="AD62" s="667">
        <v>22.379000000000001</v>
      </c>
      <c r="AE62" s="667">
        <v>13.042999999999999</v>
      </c>
      <c r="AF62" s="668">
        <v>6.2569999999999997</v>
      </c>
      <c r="AG62" s="1139">
        <v>26.8</v>
      </c>
      <c r="AH62" s="333">
        <v>486.1</v>
      </c>
      <c r="AI62" s="476">
        <v>469.11</v>
      </c>
      <c r="AJ62" s="53"/>
      <c r="AL62" s="53"/>
      <c r="AQ62" s="53"/>
      <c r="AU62" s="53"/>
      <c r="AV62" s="53"/>
      <c r="AW62" s="1136"/>
      <c r="AX62" s="1136"/>
      <c r="AY62" s="636"/>
    </row>
    <row r="63" spans="27:51">
      <c r="AA63" s="80">
        <v>2018</v>
      </c>
      <c r="AB63" s="668">
        <v>12.430999999999999</v>
      </c>
      <c r="AC63" s="667">
        <f>38841/1000</f>
        <v>38.841000000000001</v>
      </c>
      <c r="AD63" s="667">
        <v>22.718</v>
      </c>
      <c r="AE63" s="667">
        <v>11.779</v>
      </c>
      <c r="AF63" s="668">
        <v>4.93</v>
      </c>
      <c r="AG63" s="1139">
        <v>27.2</v>
      </c>
      <c r="AH63" s="333">
        <v>432.46</v>
      </c>
      <c r="AI63" s="476">
        <v>440.08</v>
      </c>
      <c r="AJ63" s="53"/>
      <c r="AL63" s="53"/>
      <c r="AQ63" s="53"/>
      <c r="AU63" s="53"/>
      <c r="AV63" s="53"/>
      <c r="AW63" s="1136"/>
      <c r="AX63" s="1136"/>
      <c r="AY63" s="636"/>
    </row>
    <row r="64" spans="27:51">
      <c r="AA64" s="80">
        <v>2017</v>
      </c>
      <c r="AB64" s="668">
        <v>9.984</v>
      </c>
      <c r="AC64" s="667">
        <f>39255/1000</f>
        <v>39.255000000000003</v>
      </c>
      <c r="AD64" s="667">
        <v>22.7</v>
      </c>
      <c r="AE64" s="667">
        <v>12.476000000000001</v>
      </c>
      <c r="AF64" s="668">
        <v>4.0570000000000004</v>
      </c>
      <c r="AG64" s="1139">
        <v>27.8</v>
      </c>
      <c r="AH64" s="333">
        <v>449.55</v>
      </c>
      <c r="AI64" s="476">
        <v>530.34</v>
      </c>
      <c r="AJ64" s="53"/>
      <c r="AL64" s="53"/>
      <c r="AQ64" s="53"/>
      <c r="AU64" s="53"/>
      <c r="AV64" s="53"/>
      <c r="AW64" s="53"/>
      <c r="AX64" s="53"/>
      <c r="AY64" s="636"/>
    </row>
    <row r="65" spans="27:51">
      <c r="AA65" s="80">
        <v>2016</v>
      </c>
      <c r="AB65" s="668">
        <v>8.0879999999999992</v>
      </c>
      <c r="AC65" s="667">
        <v>28.431000000000001</v>
      </c>
      <c r="AD65" s="667">
        <v>16.7</v>
      </c>
      <c r="AE65" s="667">
        <v>8.4849999999999994</v>
      </c>
      <c r="AF65" s="668">
        <v>3.4380000000000002</v>
      </c>
      <c r="AG65" s="1139">
        <v>23.1</v>
      </c>
      <c r="AH65" s="333">
        <v>367.4</v>
      </c>
      <c r="AI65" s="476">
        <v>486.7</v>
      </c>
      <c r="AJ65" s="53"/>
      <c r="AL65" s="53"/>
      <c r="AQ65" s="53"/>
      <c r="AU65" s="53"/>
      <c r="AV65" s="53"/>
    </row>
    <row r="66" spans="27:51">
      <c r="AA66" s="80">
        <v>2015</v>
      </c>
      <c r="AB66" s="668">
        <v>7.5209999999999999</v>
      </c>
      <c r="AC66" s="667">
        <v>29.015999999999998</v>
      </c>
      <c r="AD66" s="667">
        <v>17.100000000000001</v>
      </c>
      <c r="AE66" s="667">
        <v>8.9529999999999994</v>
      </c>
      <c r="AF66" s="668">
        <v>2.0760000000000001</v>
      </c>
      <c r="AG66" s="1139">
        <v>22.2</v>
      </c>
      <c r="AH66" s="333">
        <v>403.01</v>
      </c>
      <c r="AI66" s="476">
        <v>471</v>
      </c>
      <c r="AJ66" s="53"/>
      <c r="AL66" s="53"/>
      <c r="AQ66" s="53"/>
      <c r="AU66" s="53"/>
      <c r="AV66" s="53"/>
      <c r="AX66" s="53"/>
      <c r="AY66" s="636"/>
    </row>
    <row r="67" spans="27:51">
      <c r="AA67" s="80">
        <v>2014</v>
      </c>
      <c r="AB67" s="668">
        <v>6.3019999999999996</v>
      </c>
      <c r="AC67" s="667">
        <v>26.193000000000001</v>
      </c>
      <c r="AD67" s="667">
        <v>15.1</v>
      </c>
      <c r="AE67" s="667">
        <v>8.3610000000000007</v>
      </c>
      <c r="AF67" s="668">
        <v>1.966</v>
      </c>
      <c r="AG67" s="1139">
        <v>21.2</v>
      </c>
      <c r="AH67" s="333">
        <v>394.83</v>
      </c>
      <c r="AI67" s="476">
        <v>524</v>
      </c>
      <c r="AJ67" s="53"/>
      <c r="AL67" s="53"/>
      <c r="AQ67" s="53"/>
      <c r="AU67" s="53"/>
      <c r="AV67" s="53"/>
      <c r="AX67" s="361"/>
      <c r="AY67" s="361"/>
    </row>
    <row r="68" spans="27:51">
      <c r="AA68" s="80">
        <v>2013</v>
      </c>
      <c r="AB68" s="668">
        <v>6.0359999999999996</v>
      </c>
      <c r="AC68" s="667">
        <v>24.861999999999998</v>
      </c>
      <c r="AD68" s="667">
        <v>15.6</v>
      </c>
      <c r="AE68" s="667">
        <v>7.1870000000000003</v>
      </c>
      <c r="AF68" s="668">
        <v>1.7529999999999999</v>
      </c>
      <c r="AG68" s="1139">
        <v>21.2</v>
      </c>
      <c r="AH68" s="333">
        <v>339</v>
      </c>
      <c r="AI68" s="476">
        <v>400.06</v>
      </c>
      <c r="AJ68" s="53"/>
      <c r="AL68" s="53"/>
      <c r="AQ68" s="53"/>
    </row>
    <row r="69" spans="27:51">
      <c r="AA69" s="80">
        <v>2012</v>
      </c>
      <c r="AB69" s="668">
        <v>6.2</v>
      </c>
      <c r="AC69" s="667">
        <v>26.094000000000001</v>
      </c>
      <c r="AD69" s="667">
        <v>15.879</v>
      </c>
      <c r="AE69" s="667">
        <v>7.6550000000000002</v>
      </c>
      <c r="AF69" s="668">
        <v>1.921</v>
      </c>
      <c r="AG69" s="1139">
        <v>20.2</v>
      </c>
      <c r="AH69" s="333">
        <v>378.1</v>
      </c>
      <c r="AI69" s="476">
        <v>361</v>
      </c>
      <c r="AJ69" s="53"/>
      <c r="AL69" s="53"/>
      <c r="AQ69" s="53"/>
    </row>
    <row r="70" spans="27:51">
      <c r="AA70" s="80">
        <v>2011</v>
      </c>
      <c r="AB70" s="668">
        <v>5.6079999999999997</v>
      </c>
      <c r="AC70" s="667">
        <v>24.323</v>
      </c>
      <c r="AD70" s="667">
        <v>14.398999999999999</v>
      </c>
      <c r="AE70" s="667">
        <v>7.4279999999999999</v>
      </c>
      <c r="AF70" s="668">
        <v>2.056</v>
      </c>
      <c r="AG70" s="1139">
        <v>20.399999999999999</v>
      </c>
      <c r="AH70" s="333">
        <v>364.55</v>
      </c>
      <c r="AI70" s="476">
        <v>431.2</v>
      </c>
      <c r="AQ70" s="53"/>
    </row>
    <row r="71" spans="27:51">
      <c r="AG71" s="62"/>
      <c r="AJ71" s="53"/>
      <c r="AL71" s="53"/>
    </row>
    <row r="72" spans="27:51">
      <c r="AA72" s="80">
        <v>2009</v>
      </c>
      <c r="AB72" s="668">
        <v>4.2859999999999996</v>
      </c>
      <c r="AC72" s="667">
        <v>21.273</v>
      </c>
      <c r="AD72" s="667">
        <v>11.537000000000001</v>
      </c>
      <c r="AE72" s="667">
        <v>7.3920000000000003</v>
      </c>
      <c r="AF72" s="668">
        <v>1.071</v>
      </c>
      <c r="AG72" s="1139">
        <v>20</v>
      </c>
      <c r="AH72" s="333">
        <v>369.8</v>
      </c>
      <c r="AI72" s="476">
        <v>389.96</v>
      </c>
      <c r="AQ72" s="53"/>
    </row>
    <row r="73" spans="27:51">
      <c r="AA73" s="51"/>
      <c r="AB73" s="69"/>
      <c r="AC73" s="73"/>
      <c r="AD73" s="73"/>
      <c r="AE73" s="666"/>
      <c r="AF73" s="69"/>
      <c r="AG73" s="1140"/>
      <c r="AH73" s="69"/>
      <c r="AI73" s="60"/>
      <c r="AJ73" s="469"/>
      <c r="AL73" s="469"/>
    </row>
    <row r="74" spans="27:51">
      <c r="AA74" s="71" t="s">
        <v>967</v>
      </c>
      <c r="AB74" s="673" t="e">
        <f>+#REF!-AB72</f>
        <v>#REF!</v>
      </c>
      <c r="AC74" s="673" t="e">
        <f>+#REF!-AC72</f>
        <v>#REF!</v>
      </c>
      <c r="AD74" s="673" t="e">
        <f>+#REF!-AD72</f>
        <v>#REF!</v>
      </c>
      <c r="AE74" s="673" t="e">
        <f>+#REF!-AE72</f>
        <v>#REF!</v>
      </c>
      <c r="AF74" s="673">
        <f>+AI52-AF72</f>
        <v>-1.071</v>
      </c>
      <c r="AG74" s="674" t="e">
        <f>+#REF!-AG72</f>
        <v>#REF!</v>
      </c>
      <c r="AH74" s="337" t="e">
        <f>+#REF!-AH72</f>
        <v>#REF!</v>
      </c>
      <c r="AI74" s="1137" t="e">
        <f>+#REF!-AI72</f>
        <v>#REF!</v>
      </c>
      <c r="AJ74" s="827"/>
      <c r="AL74" s="827"/>
      <c r="AQ74" s="469"/>
    </row>
    <row r="75" spans="27:51">
      <c r="AA75" s="41" t="s">
        <v>774</v>
      </c>
      <c r="AB75" s="672" t="e">
        <f>+(#REF!-AB72)/AB72</f>
        <v>#REF!</v>
      </c>
      <c r="AC75" s="672" t="e">
        <f>+(#REF!-AC72)/AC72</f>
        <v>#REF!</v>
      </c>
      <c r="AD75" s="672" t="e">
        <f>+(#REF!-AD72)/AD72</f>
        <v>#REF!</v>
      </c>
      <c r="AE75" s="672" t="e">
        <f>+(#REF!-AE72)/AE72</f>
        <v>#REF!</v>
      </c>
      <c r="AF75" s="672">
        <f>+(AI52-AF72)/AF72</f>
        <v>-1</v>
      </c>
      <c r="AG75" s="672" t="e">
        <f>+(#REF!-AG72)/AG72</f>
        <v>#REF!</v>
      </c>
      <c r="AH75" s="672" t="e">
        <f>+(#REF!-AH72)/AH72</f>
        <v>#REF!</v>
      </c>
      <c r="AI75" s="1138" t="e">
        <f>+(#REF!-AI72)/AI72</f>
        <v>#REF!</v>
      </c>
      <c r="AQ75" s="827"/>
    </row>
  </sheetData>
  <mergeCells count="16">
    <mergeCell ref="V6:W6"/>
    <mergeCell ref="H6:I6"/>
    <mergeCell ref="H7:I7"/>
    <mergeCell ref="H8:I8"/>
    <mergeCell ref="Y7:Z7"/>
    <mergeCell ref="Y8:Z8"/>
    <mergeCell ref="K8:L8"/>
    <mergeCell ref="Q8:R8"/>
    <mergeCell ref="V8:W8"/>
    <mergeCell ref="V7:W7"/>
    <mergeCell ref="N8:O8"/>
    <mergeCell ref="AX42:AY42"/>
    <mergeCell ref="AU42:AV42"/>
    <mergeCell ref="AU40:AV40"/>
    <mergeCell ref="AU41:AV41"/>
    <mergeCell ref="AX41:AY41"/>
  </mergeCells>
  <printOptions horizontalCentered="1" gridLines="1"/>
  <pageMargins left="0.7" right="0.7" top="0.75" bottom="0.75" header="0.3" footer="0.3"/>
  <pageSetup scale="90"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6C1E0-E769-594F-A801-AA17140B4AA1}">
  <dimension ref="C2:O17"/>
  <sheetViews>
    <sheetView workbookViewId="0">
      <selection activeCell="B32" sqref="B32"/>
    </sheetView>
  </sheetViews>
  <sheetFormatPr baseColWidth="10" defaultRowHeight="16"/>
  <cols>
    <col min="3" max="3" width="16" customWidth="1"/>
    <col min="4" max="4" width="10" bestFit="1" customWidth="1"/>
    <col min="5" max="5" width="6.6640625" bestFit="1" customWidth="1"/>
    <col min="6" max="6" width="7.1640625" bestFit="1" customWidth="1"/>
    <col min="7" max="7" width="10" bestFit="1" customWidth="1"/>
    <col min="8" max="8" width="5.6640625" bestFit="1" customWidth="1"/>
    <col min="9" max="9" width="8.1640625" bestFit="1" customWidth="1"/>
    <col min="10" max="10" width="9.6640625" bestFit="1" customWidth="1"/>
    <col min="11" max="11" width="4.6640625" bestFit="1" customWidth="1"/>
    <col min="12" max="12" width="6.6640625" bestFit="1" customWidth="1"/>
    <col min="13" max="13" width="9.6640625" bestFit="1" customWidth="1"/>
  </cols>
  <sheetData>
    <row r="2" spans="3:15">
      <c r="E2" s="2091" t="s">
        <v>1726</v>
      </c>
      <c r="F2" s="2095"/>
      <c r="G2" s="2092"/>
    </row>
    <row r="3" spans="3:15">
      <c r="D3" s="40" t="s">
        <v>43</v>
      </c>
      <c r="E3" s="1090"/>
      <c r="F3" s="1090" t="s">
        <v>1723</v>
      </c>
      <c r="G3" s="1090" t="s">
        <v>1722</v>
      </c>
      <c r="H3" s="50"/>
      <c r="I3" s="901" t="s">
        <v>1149</v>
      </c>
      <c r="J3" s="28"/>
      <c r="K3" s="50"/>
      <c r="L3" s="901" t="s">
        <v>1724</v>
      </c>
      <c r="M3" s="28"/>
    </row>
    <row r="4" spans="3:15">
      <c r="D4" s="51" t="s">
        <v>1336</v>
      </c>
      <c r="E4" s="1096" t="s">
        <v>1149</v>
      </c>
      <c r="F4" s="1096" t="s">
        <v>1724</v>
      </c>
      <c r="G4" s="1096" t="s">
        <v>1336</v>
      </c>
      <c r="H4" s="1457">
        <v>0.01</v>
      </c>
      <c r="I4" s="1457">
        <v>1</v>
      </c>
      <c r="J4" s="992" t="s">
        <v>1727</v>
      </c>
      <c r="K4" s="1457">
        <v>0.01</v>
      </c>
      <c r="L4" s="1457">
        <v>1</v>
      </c>
      <c r="M4" s="981" t="s">
        <v>1727</v>
      </c>
      <c r="N4" s="42"/>
    </row>
    <row r="5" spans="3:15">
      <c r="C5" s="46" t="s">
        <v>1392</v>
      </c>
      <c r="D5" s="869">
        <v>0.434</v>
      </c>
      <c r="E5" s="848">
        <v>854</v>
      </c>
      <c r="F5" s="747" t="s">
        <v>40</v>
      </c>
      <c r="G5" s="850">
        <v>0.182</v>
      </c>
      <c r="H5" s="647">
        <f>+E5/18.2</f>
        <v>46.923076923076927</v>
      </c>
      <c r="I5" s="647">
        <f>+H5*100</f>
        <v>4692.3076923076924</v>
      </c>
      <c r="J5" s="405">
        <f>+I5*D5</f>
        <v>2036.4615384615386</v>
      </c>
      <c r="K5" s="318">
        <f>823.7/18.2</f>
        <v>45.258241758241759</v>
      </c>
      <c r="L5" s="318">
        <f>+K5*100</f>
        <v>4525.8241758241757</v>
      </c>
      <c r="M5" s="740">
        <f>+L5*D5</f>
        <v>1964.2076923076922</v>
      </c>
    </row>
    <row r="6" spans="3:15">
      <c r="C6" s="46" t="s">
        <v>2</v>
      </c>
      <c r="D6" s="869">
        <v>0.34100000000000003</v>
      </c>
      <c r="E6" s="848">
        <v>558.4</v>
      </c>
      <c r="F6" s="848">
        <v>744.8</v>
      </c>
      <c r="G6" s="850">
        <v>0.113</v>
      </c>
      <c r="H6" s="647">
        <f>+E6/11.3</f>
        <v>49.415929203539818</v>
      </c>
      <c r="I6" s="647">
        <f>+H6*100</f>
        <v>4941.5929203539818</v>
      </c>
      <c r="J6" s="405">
        <f>+I6*D6</f>
        <v>1685.083185840708</v>
      </c>
      <c r="K6" s="318">
        <f>+F6/11.3</f>
        <v>65.911504424778755</v>
      </c>
      <c r="L6" s="318">
        <f>+K6*100</f>
        <v>6591.1504424778759</v>
      </c>
      <c r="M6" s="1359">
        <f>+L6*D6</f>
        <v>2247.5823008849557</v>
      </c>
      <c r="O6">
        <f>2.074/32.2*34.1</f>
        <v>2.1963788819875774</v>
      </c>
    </row>
    <row r="7" spans="3:15">
      <c r="C7" s="46" t="s">
        <v>3</v>
      </c>
      <c r="D7" s="869">
        <v>0.43</v>
      </c>
      <c r="E7" s="848">
        <v>210</v>
      </c>
      <c r="F7" s="848">
        <v>162.6</v>
      </c>
      <c r="G7" s="850">
        <v>7.9000000000000001E-2</v>
      </c>
      <c r="H7" s="647">
        <f>+E7/7.9</f>
        <v>26.582278481012658</v>
      </c>
      <c r="I7" s="647">
        <f>+H7*100</f>
        <v>2658.2278481012659</v>
      </c>
      <c r="J7" s="405">
        <f>+I7*D7</f>
        <v>1143.0379746835442</v>
      </c>
      <c r="K7" s="318">
        <f>+F7/7.9</f>
        <v>20.582278481012658</v>
      </c>
      <c r="L7" s="318">
        <f>+K7*100</f>
        <v>2058.2278481012659</v>
      </c>
      <c r="M7" s="1359">
        <f>+L7*D7</f>
        <v>885.03797468354435</v>
      </c>
      <c r="O7">
        <f>2.074/32.2*34.1</f>
        <v>2.1963788819875774</v>
      </c>
    </row>
    <row r="8" spans="3:15">
      <c r="C8" s="46" t="s">
        <v>1401</v>
      </c>
      <c r="D8" s="869">
        <v>0.49</v>
      </c>
      <c r="E8" s="848">
        <v>51.3</v>
      </c>
      <c r="F8" s="848">
        <v>47.3</v>
      </c>
      <c r="G8" s="850">
        <v>0.17199999999999999</v>
      </c>
      <c r="H8" s="647">
        <f>+E8/17.2</f>
        <v>2.9825581395348837</v>
      </c>
      <c r="I8" s="647">
        <f>+H8*100</f>
        <v>298.25581395348837</v>
      </c>
      <c r="J8" s="405">
        <f>+I8*D8</f>
        <v>146.1453488372093</v>
      </c>
      <c r="K8" s="647">
        <f>+F8/17.2</f>
        <v>2.75</v>
      </c>
      <c r="L8" s="318">
        <f>+K8*100</f>
        <v>275</v>
      </c>
      <c r="M8" s="1359">
        <f>+L8*D8</f>
        <v>134.75</v>
      </c>
    </row>
    <row r="9" spans="3:15">
      <c r="C9" s="46" t="s">
        <v>1725</v>
      </c>
      <c r="D9" s="869">
        <v>0.36</v>
      </c>
      <c r="E9" s="848">
        <v>31.6</v>
      </c>
      <c r="F9" s="848">
        <v>33.200000000000003</v>
      </c>
      <c r="G9" s="850">
        <v>0.128</v>
      </c>
      <c r="H9" s="647">
        <f>+E9/12.8</f>
        <v>2.46875</v>
      </c>
      <c r="I9" s="647">
        <f>+H9*100</f>
        <v>246.875</v>
      </c>
      <c r="J9" s="405">
        <f>+I9*D9</f>
        <v>88.875</v>
      </c>
      <c r="K9" s="647">
        <f>+F9/12.8</f>
        <v>2.59375</v>
      </c>
      <c r="L9" s="318">
        <f>+K9*100</f>
        <v>259.375</v>
      </c>
      <c r="M9" s="1359">
        <f>+L9*D9</f>
        <v>93.375</v>
      </c>
    </row>
    <row r="10" spans="3:15">
      <c r="D10" s="30"/>
    </row>
    <row r="11" spans="3:15">
      <c r="C11" s="46" t="s">
        <v>1</v>
      </c>
      <c r="D11" s="869">
        <v>0.84</v>
      </c>
      <c r="E11" s="848">
        <v>182.1</v>
      </c>
      <c r="F11" s="848"/>
      <c r="G11" s="850">
        <v>0.21299999999999999</v>
      </c>
      <c r="H11" s="647">
        <f>+E11/21.3</f>
        <v>8.5492957746478861</v>
      </c>
      <c r="I11" s="647">
        <f>+H11*100</f>
        <v>854.92957746478862</v>
      </c>
      <c r="J11" s="336">
        <f>+I11*D11</f>
        <v>718.14084507042242</v>
      </c>
      <c r="K11" s="647"/>
      <c r="L11" s="318"/>
      <c r="M11" s="336"/>
    </row>
    <row r="12" spans="3:15">
      <c r="C12" s="46" t="s">
        <v>128</v>
      </c>
      <c r="D12" s="869">
        <v>0.48</v>
      </c>
      <c r="E12" s="848">
        <v>125.8</v>
      </c>
      <c r="F12" s="848"/>
      <c r="G12" s="850">
        <v>0.14099999999999999</v>
      </c>
      <c r="H12" s="647">
        <f>+E12/14.1</f>
        <v>8.9219858156028362</v>
      </c>
      <c r="I12" s="647">
        <f>+H12*100</f>
        <v>892.19858156028363</v>
      </c>
      <c r="J12" s="336">
        <f>+I12*D12</f>
        <v>428.25531914893611</v>
      </c>
      <c r="K12" s="647"/>
      <c r="L12" s="318"/>
      <c r="M12" s="336"/>
    </row>
    <row r="13" spans="3:15">
      <c r="C13" s="46" t="s">
        <v>1711</v>
      </c>
      <c r="D13" s="869">
        <v>0.42499999999999999</v>
      </c>
      <c r="E13" s="848">
        <v>12</v>
      </c>
      <c r="F13" s="848"/>
      <c r="G13" s="850">
        <v>3.7999999999999999E-2</v>
      </c>
      <c r="H13" s="647">
        <f>+E13/3.8</f>
        <v>3.1578947368421053</v>
      </c>
      <c r="I13" s="647">
        <f>+H13*100</f>
        <v>315.78947368421052</v>
      </c>
      <c r="J13" s="336">
        <f>+I13*D13</f>
        <v>134.21052631578948</v>
      </c>
      <c r="K13" s="647"/>
      <c r="L13" s="318"/>
      <c r="M13" s="336"/>
    </row>
    <row r="15" spans="3:15">
      <c r="C15" s="46" t="s">
        <v>1135</v>
      </c>
      <c r="D15" s="869" t="s">
        <v>1506</v>
      </c>
      <c r="E15" s="848">
        <v>88.1</v>
      </c>
      <c r="F15" s="848"/>
      <c r="G15" s="850">
        <v>0.35099999999999998</v>
      </c>
      <c r="H15" s="647">
        <f>+E15/35.1</f>
        <v>2.5099715099715096</v>
      </c>
      <c r="I15" s="647">
        <f>+H15*100</f>
        <v>250.99715099715095</v>
      </c>
      <c r="J15" s="318"/>
      <c r="K15" s="647"/>
      <c r="L15" s="318"/>
      <c r="M15" s="336"/>
    </row>
    <row r="16" spans="3:15">
      <c r="C16" s="46" t="s">
        <v>1728</v>
      </c>
      <c r="D16" s="869" t="s">
        <v>1506</v>
      </c>
      <c r="E16" s="848">
        <v>38.1</v>
      </c>
      <c r="F16" s="848"/>
      <c r="G16" s="850">
        <v>0.41899999999999998</v>
      </c>
      <c r="H16" s="647">
        <f>+E16/41.9</f>
        <v>0.90930787589498818</v>
      </c>
      <c r="I16" s="647">
        <f>+H16*100</f>
        <v>90.93078758949882</v>
      </c>
      <c r="J16" s="318"/>
      <c r="K16" s="647"/>
      <c r="L16" s="318"/>
      <c r="M16" s="336"/>
    </row>
    <row r="17" spans="3:13">
      <c r="C17" s="46" t="s">
        <v>1729</v>
      </c>
      <c r="D17" s="869"/>
      <c r="E17" s="848">
        <v>20.5</v>
      </c>
      <c r="F17" s="848"/>
      <c r="G17" s="850">
        <v>0.27300000000000002</v>
      </c>
      <c r="H17" s="647">
        <f>+E17/27.3</f>
        <v>0.75091575091575091</v>
      </c>
      <c r="I17" s="647">
        <f>+H17*100</f>
        <v>75.091575091575095</v>
      </c>
      <c r="J17" s="336"/>
      <c r="K17" s="647"/>
      <c r="L17" s="318"/>
      <c r="M17" s="336"/>
    </row>
  </sheetData>
  <mergeCells count="1">
    <mergeCell ref="E2:G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B0B00-9E3B-1546-972F-717B06A0ECA6}">
  <dimension ref="B5:O84"/>
  <sheetViews>
    <sheetView topLeftCell="A3" zoomScaleNormal="100" workbookViewId="0">
      <selection activeCell="C23" sqref="C23"/>
    </sheetView>
  </sheetViews>
  <sheetFormatPr baseColWidth="10" defaultRowHeight="16"/>
  <cols>
    <col min="2" max="2" width="4.6640625" bestFit="1" customWidth="1"/>
    <col min="3" max="3" width="9" customWidth="1"/>
    <col min="4" max="4" width="21.6640625" customWidth="1"/>
    <col min="5" max="5" width="9" bestFit="1" customWidth="1"/>
    <col min="6" max="6" width="6.1640625" bestFit="1" customWidth="1"/>
    <col min="7" max="7" width="5.6640625" style="30" bestFit="1" customWidth="1"/>
    <col min="8" max="8" width="1.6640625" customWidth="1"/>
    <col min="9" max="9" width="6.1640625" bestFit="1" customWidth="1"/>
    <col min="10" max="10" width="5.83203125" bestFit="1" customWidth="1"/>
    <col min="11" max="11" width="1.6640625" customWidth="1"/>
    <col min="12" max="12" width="8.5" bestFit="1" customWidth="1"/>
    <col min="13" max="13" width="8" bestFit="1" customWidth="1"/>
    <col min="14" max="14" width="1.6640625" customWidth="1"/>
    <col min="15" max="15" width="4.5" style="30" bestFit="1" customWidth="1"/>
  </cols>
  <sheetData>
    <row r="5" spans="2:15">
      <c r="L5" s="1861"/>
    </row>
    <row r="6" spans="2:15">
      <c r="C6" s="11" t="s">
        <v>1603</v>
      </c>
      <c r="M6" s="502" t="s">
        <v>1604</v>
      </c>
    </row>
    <row r="7" spans="2:15">
      <c r="B7" s="499"/>
      <c r="C7" s="1811" t="s">
        <v>2259</v>
      </c>
      <c r="D7" s="501"/>
      <c r="E7" s="502" t="s">
        <v>1255</v>
      </c>
      <c r="F7" s="501"/>
      <c r="G7" s="501"/>
      <c r="H7" s="501"/>
      <c r="I7" s="2079" t="s">
        <v>1336</v>
      </c>
      <c r="J7" s="2079"/>
      <c r="K7" s="501"/>
      <c r="L7" s="1278" t="s">
        <v>13</v>
      </c>
      <c r="M7" s="503" t="s">
        <v>1605</v>
      </c>
      <c r="N7" s="499"/>
      <c r="O7" s="1812"/>
    </row>
    <row r="8" spans="2:15">
      <c r="B8" s="491" t="s">
        <v>1079</v>
      </c>
      <c r="C8" s="491" t="s">
        <v>35</v>
      </c>
      <c r="D8" s="500" t="s">
        <v>1078</v>
      </c>
      <c r="E8" s="504" t="s">
        <v>10</v>
      </c>
      <c r="F8" s="1141" t="s">
        <v>1256</v>
      </c>
      <c r="G8" s="501"/>
      <c r="H8" s="501"/>
      <c r="I8" s="491" t="s">
        <v>39</v>
      </c>
      <c r="J8" s="491" t="s">
        <v>959</v>
      </c>
      <c r="K8" s="501"/>
      <c r="L8" s="971" t="s">
        <v>10</v>
      </c>
      <c r="M8" s="504" t="s">
        <v>1606</v>
      </c>
      <c r="N8" s="499"/>
      <c r="O8" s="491" t="s">
        <v>2129</v>
      </c>
    </row>
    <row r="9" spans="2:15">
      <c r="B9" s="45">
        <v>1</v>
      </c>
      <c r="C9" s="46" t="s">
        <v>28</v>
      </c>
      <c r="D9" s="46" t="s">
        <v>2</v>
      </c>
      <c r="E9" s="1932">
        <v>4739.5021904999994</v>
      </c>
      <c r="F9" s="850">
        <f t="shared" ref="F9:F36" si="0">+E9/$E$41</f>
        <v>0.17753523179443084</v>
      </c>
      <c r="G9" s="53"/>
      <c r="H9" s="211"/>
      <c r="I9" s="902">
        <v>0.32300000000000001</v>
      </c>
      <c r="J9" s="1078">
        <v>1178.0999999999999</v>
      </c>
      <c r="K9" s="779"/>
      <c r="L9" s="1932">
        <v>2538.1</v>
      </c>
      <c r="M9" s="1932">
        <f>+E9-L9</f>
        <v>2201.4021904999995</v>
      </c>
      <c r="O9" s="45" t="s">
        <v>813</v>
      </c>
    </row>
    <row r="10" spans="2:15">
      <c r="B10" s="45">
        <v>2</v>
      </c>
      <c r="C10" s="46" t="s">
        <v>2260</v>
      </c>
      <c r="D10" s="46" t="s">
        <v>2262</v>
      </c>
      <c r="E10" s="1932">
        <v>3368.3688782999998</v>
      </c>
      <c r="F10" s="850">
        <f t="shared" si="0"/>
        <v>0.12617446422470169</v>
      </c>
      <c r="G10" s="1813" t="s">
        <v>1397</v>
      </c>
      <c r="H10" s="211"/>
      <c r="I10" s="46"/>
      <c r="J10" s="1933">
        <v>1.7603549999999999</v>
      </c>
      <c r="K10" s="1393"/>
      <c r="L10" s="46"/>
      <c r="M10" s="1932"/>
      <c r="O10" s="45" t="s">
        <v>2123</v>
      </c>
    </row>
    <row r="11" spans="2:15">
      <c r="B11" s="45">
        <v>3</v>
      </c>
      <c r="C11" s="458" t="s">
        <v>1402</v>
      </c>
      <c r="D11" s="46" t="s">
        <v>1392</v>
      </c>
      <c r="E11" s="1932">
        <v>1958</v>
      </c>
      <c r="F11" s="850">
        <f t="shared" si="0"/>
        <v>7.3343986326298891E-2</v>
      </c>
      <c r="G11" s="1335">
        <f>SUM(F9:F11)</f>
        <v>0.37705368234543146</v>
      </c>
      <c r="H11" s="211"/>
      <c r="I11" s="902">
        <v>0.434</v>
      </c>
      <c r="J11" s="1803">
        <v>132</v>
      </c>
      <c r="K11" s="362"/>
      <c r="L11" s="1932">
        <v>1957.9</v>
      </c>
      <c r="M11" s="1932">
        <v>0</v>
      </c>
      <c r="O11" s="45" t="s">
        <v>813</v>
      </c>
    </row>
    <row r="12" spans="2:15">
      <c r="B12" s="45">
        <v>4</v>
      </c>
      <c r="C12" s="46" t="s">
        <v>1385</v>
      </c>
      <c r="D12" s="46" t="s">
        <v>1975</v>
      </c>
      <c r="E12" s="1932">
        <f>427.87851587+365.8+240.7</f>
        <v>1034.37851587</v>
      </c>
      <c r="F12" s="1219">
        <f t="shared" si="0"/>
        <v>3.8746396181913494E-2</v>
      </c>
      <c r="G12" s="53"/>
      <c r="H12" s="211"/>
      <c r="I12" s="902">
        <v>0.17580000000000001</v>
      </c>
      <c r="J12" s="845">
        <v>31.817</v>
      </c>
      <c r="K12" s="612"/>
      <c r="L12" s="1932"/>
      <c r="M12" s="1932"/>
      <c r="O12" s="45" t="s">
        <v>2123</v>
      </c>
    </row>
    <row r="13" spans="2:15">
      <c r="B13" s="45">
        <v>5</v>
      </c>
      <c r="C13" s="46" t="s">
        <v>32</v>
      </c>
      <c r="D13" s="46" t="s">
        <v>3</v>
      </c>
      <c r="E13" s="1932">
        <v>995.904</v>
      </c>
      <c r="F13" s="1219">
        <f t="shared" si="0"/>
        <v>3.7305193747858206E-2</v>
      </c>
      <c r="G13" s="53"/>
      <c r="H13" s="211"/>
      <c r="I13" s="902">
        <v>0.42699999999999999</v>
      </c>
      <c r="J13" s="845">
        <v>57.6</v>
      </c>
      <c r="K13" s="612"/>
      <c r="L13" s="1932">
        <v>679</v>
      </c>
      <c r="M13" s="1932">
        <f t="shared" ref="M13:M28" si="1">+E13-L13</f>
        <v>316.904</v>
      </c>
      <c r="O13" s="45" t="s">
        <v>893</v>
      </c>
    </row>
    <row r="14" spans="2:15">
      <c r="B14" s="45">
        <v>6</v>
      </c>
      <c r="C14" s="1810" t="s">
        <v>1402</v>
      </c>
      <c r="D14" s="46" t="s">
        <v>126</v>
      </c>
      <c r="E14" s="1932">
        <v>729</v>
      </c>
      <c r="F14" s="1219">
        <f t="shared" si="0"/>
        <v>2.7307337094929465E-2</v>
      </c>
      <c r="G14" s="53"/>
      <c r="H14" s="211"/>
      <c r="I14" s="902"/>
      <c r="J14" s="1297"/>
      <c r="K14" s="556"/>
      <c r="L14" s="1932"/>
      <c r="M14" s="1932"/>
      <c r="O14" s="45" t="s">
        <v>2123</v>
      </c>
    </row>
    <row r="15" spans="2:15">
      <c r="B15" s="45">
        <v>7</v>
      </c>
      <c r="C15" s="458" t="s">
        <v>1402</v>
      </c>
      <c r="D15" s="46" t="s">
        <v>2124</v>
      </c>
      <c r="E15" s="1932">
        <v>669</v>
      </c>
      <c r="F15" s="1219">
        <f t="shared" si="0"/>
        <v>2.5059819638556666E-2</v>
      </c>
      <c r="G15" s="53"/>
      <c r="H15" s="211"/>
      <c r="I15" s="1934">
        <v>0.84</v>
      </c>
      <c r="J15" s="845">
        <v>49.4</v>
      </c>
      <c r="K15" s="612"/>
      <c r="L15" s="1932">
        <v>669</v>
      </c>
      <c r="M15" s="1932">
        <v>0</v>
      </c>
      <c r="O15" s="45" t="s">
        <v>893</v>
      </c>
    </row>
    <row r="16" spans="2:15">
      <c r="B16" s="45">
        <v>8</v>
      </c>
      <c r="C16" s="46" t="s">
        <v>151</v>
      </c>
      <c r="D16" s="46" t="s">
        <v>1660</v>
      </c>
      <c r="E16" s="1932">
        <v>614.28291120000006</v>
      </c>
      <c r="F16" s="1219">
        <f t="shared" si="0"/>
        <v>2.3010192767891666E-2</v>
      </c>
      <c r="G16" s="53"/>
      <c r="H16" s="211"/>
      <c r="I16" s="902">
        <v>8.3400000000000002E-2</v>
      </c>
      <c r="J16" s="845">
        <v>11.94</v>
      </c>
      <c r="K16" s="612"/>
      <c r="L16" s="1932"/>
      <c r="M16" s="1932"/>
      <c r="O16" s="45" t="s">
        <v>2123</v>
      </c>
    </row>
    <row r="17" spans="2:15">
      <c r="B17" s="45">
        <v>9</v>
      </c>
      <c r="C17" s="458" t="s">
        <v>1402</v>
      </c>
      <c r="D17" s="46" t="s">
        <v>1868</v>
      </c>
      <c r="E17" s="1932">
        <v>592</v>
      </c>
      <c r="F17" s="1219">
        <f t="shared" si="0"/>
        <v>2.2175505569544913E-2</v>
      </c>
      <c r="G17" s="1814" t="s">
        <v>1398</v>
      </c>
      <c r="H17" s="211"/>
      <c r="I17" s="902"/>
      <c r="J17" s="1078"/>
      <c r="K17" s="779"/>
      <c r="L17" s="1932">
        <v>591.70000000000005</v>
      </c>
      <c r="M17" s="1932">
        <v>0</v>
      </c>
      <c r="O17" s="45" t="s">
        <v>813</v>
      </c>
    </row>
    <row r="18" spans="2:15" ht="17" thickBot="1">
      <c r="B18" s="1718">
        <v>10</v>
      </c>
      <c r="C18" s="1946" t="s">
        <v>1402</v>
      </c>
      <c r="D18" s="1804" t="s">
        <v>156</v>
      </c>
      <c r="E18" s="1937">
        <v>542</v>
      </c>
      <c r="F18" s="1805">
        <f t="shared" si="0"/>
        <v>2.0302574355900917E-2</v>
      </c>
      <c r="G18" s="1809">
        <f>SUM(F9:F18)</f>
        <v>0.57096070170202673</v>
      </c>
      <c r="H18" s="211"/>
      <c r="I18" s="1940"/>
      <c r="J18" s="1941"/>
      <c r="K18" s="556"/>
      <c r="L18" s="1937"/>
      <c r="M18" s="1937"/>
      <c r="O18" s="1718" t="s">
        <v>2123</v>
      </c>
    </row>
    <row r="19" spans="2:15">
      <c r="B19" s="90">
        <v>11</v>
      </c>
      <c r="C19" s="463" t="s">
        <v>1402</v>
      </c>
      <c r="D19" s="56" t="s">
        <v>1624</v>
      </c>
      <c r="E19" s="1936">
        <v>541</v>
      </c>
      <c r="F19" s="1657">
        <f t="shared" si="0"/>
        <v>2.026511573162804E-2</v>
      </c>
      <c r="G19" s="53"/>
      <c r="H19" s="211"/>
      <c r="I19" s="1938">
        <v>1</v>
      </c>
      <c r="J19" s="1939"/>
      <c r="K19" s="612"/>
      <c r="L19" s="1936">
        <v>541</v>
      </c>
      <c r="M19" s="1936">
        <v>0</v>
      </c>
      <c r="O19" s="90" t="s">
        <v>893</v>
      </c>
    </row>
    <row r="20" spans="2:15">
      <c r="B20" s="45">
        <v>12</v>
      </c>
      <c r="C20" s="46" t="s">
        <v>33</v>
      </c>
      <c r="D20" s="46" t="s">
        <v>5</v>
      </c>
      <c r="E20" s="1932">
        <v>496.44635040000009</v>
      </c>
      <c r="F20" s="912">
        <f t="shared" si="0"/>
        <v>1.8596197311276094E-2</v>
      </c>
      <c r="G20" s="53"/>
      <c r="H20" s="211"/>
      <c r="I20" s="902">
        <v>0.64600000000000002</v>
      </c>
      <c r="J20" s="1803">
        <v>300.3</v>
      </c>
      <c r="K20" s="362"/>
      <c r="L20" s="1932">
        <v>220</v>
      </c>
      <c r="M20" s="1932">
        <f t="shared" si="1"/>
        <v>276.44635040000009</v>
      </c>
      <c r="O20" s="45" t="s">
        <v>893</v>
      </c>
    </row>
    <row r="21" spans="2:15">
      <c r="B21" s="45">
        <v>13</v>
      </c>
      <c r="C21" s="458" t="s">
        <v>1402</v>
      </c>
      <c r="D21" s="46" t="s">
        <v>172</v>
      </c>
      <c r="E21" s="1932">
        <v>470</v>
      </c>
      <c r="F21" s="912">
        <f t="shared" si="0"/>
        <v>1.7605553408253562E-2</v>
      </c>
      <c r="G21" s="53"/>
      <c r="H21" s="211"/>
      <c r="I21" s="902">
        <v>0.85199999999999998</v>
      </c>
      <c r="J21" s="1803">
        <v>339.4</v>
      </c>
      <c r="K21" s="362"/>
      <c r="L21" s="1932">
        <v>470</v>
      </c>
      <c r="M21" s="1932">
        <v>0</v>
      </c>
      <c r="O21" s="45" t="s">
        <v>893</v>
      </c>
    </row>
    <row r="22" spans="2:15">
      <c r="B22" s="45">
        <v>14</v>
      </c>
      <c r="C22" s="46" t="s">
        <v>31</v>
      </c>
      <c r="D22" s="46" t="s">
        <v>22</v>
      </c>
      <c r="E22" s="1932">
        <v>465.23863999999998</v>
      </c>
      <c r="F22" s="912">
        <f t="shared" si="0"/>
        <v>1.7427199412985643E-2</v>
      </c>
      <c r="G22" s="53"/>
      <c r="H22" s="211"/>
      <c r="I22" s="1934">
        <v>7.0000000000000007E-2</v>
      </c>
      <c r="J22" s="1803">
        <v>215.5</v>
      </c>
      <c r="K22" s="362"/>
      <c r="L22" s="1932"/>
      <c r="M22" s="1932"/>
      <c r="O22" s="45" t="s">
        <v>2123</v>
      </c>
    </row>
    <row r="23" spans="2:15">
      <c r="B23" s="45">
        <v>15</v>
      </c>
      <c r="C23" s="46" t="s">
        <v>169</v>
      </c>
      <c r="D23" s="46" t="s">
        <v>114</v>
      </c>
      <c r="E23" s="1932">
        <v>447.57291600000002</v>
      </c>
      <c r="F23" s="912">
        <f t="shared" si="0"/>
        <v>1.6765465695161248E-2</v>
      </c>
      <c r="G23" s="53"/>
      <c r="H23" s="211"/>
      <c r="I23" s="902">
        <v>0.22600000000000001</v>
      </c>
      <c r="J23" s="1803">
        <v>121.9</v>
      </c>
      <c r="K23" s="362"/>
      <c r="L23" s="1932"/>
      <c r="M23" s="1932"/>
      <c r="O23" s="45" t="s">
        <v>2123</v>
      </c>
    </row>
    <row r="24" spans="2:15">
      <c r="B24" s="45">
        <v>16</v>
      </c>
      <c r="C24" s="458" t="s">
        <v>1402</v>
      </c>
      <c r="D24" s="46" t="s">
        <v>104</v>
      </c>
      <c r="E24" s="1932">
        <v>439</v>
      </c>
      <c r="F24" s="912">
        <f t="shared" si="0"/>
        <v>1.6444336055794286E-2</v>
      </c>
      <c r="G24" s="53"/>
      <c r="H24" s="211"/>
      <c r="I24" s="902">
        <v>0.49299999999999999</v>
      </c>
      <c r="J24" s="845">
        <v>22.9</v>
      </c>
      <c r="K24" s="612"/>
      <c r="L24" s="1932">
        <v>439.1</v>
      </c>
      <c r="M24" s="1932">
        <v>0</v>
      </c>
      <c r="O24" s="45" t="s">
        <v>813</v>
      </c>
    </row>
    <row r="25" spans="2:15">
      <c r="B25" s="45">
        <v>17</v>
      </c>
      <c r="C25" s="458" t="s">
        <v>1402</v>
      </c>
      <c r="D25" s="46" t="s">
        <v>1457</v>
      </c>
      <c r="E25" s="1932">
        <v>426</v>
      </c>
      <c r="F25" s="912">
        <f t="shared" si="0"/>
        <v>1.5957373940246846E-2</v>
      </c>
      <c r="G25" s="53"/>
      <c r="H25" s="211"/>
      <c r="I25" s="1934">
        <v>1</v>
      </c>
      <c r="J25" s="1803"/>
      <c r="K25" s="362"/>
      <c r="L25" s="1932">
        <v>426</v>
      </c>
      <c r="M25" s="1932">
        <v>0</v>
      </c>
      <c r="O25" s="45" t="s">
        <v>893</v>
      </c>
    </row>
    <row r="26" spans="2:15">
      <c r="B26" s="45">
        <v>18</v>
      </c>
      <c r="C26" s="46" t="s">
        <v>77</v>
      </c>
      <c r="D26" s="46" t="s">
        <v>75</v>
      </c>
      <c r="E26" s="1932">
        <v>314.50083840000002</v>
      </c>
      <c r="F26" s="912">
        <f t="shared" si="0"/>
        <v>1.1780768739131326E-2</v>
      </c>
      <c r="G26" s="53"/>
      <c r="H26" s="211"/>
      <c r="I26" s="902">
        <v>0.24299999999999999</v>
      </c>
      <c r="J26" s="1078">
        <v>4512</v>
      </c>
      <c r="K26" s="779"/>
      <c r="L26" s="1932">
        <v>199</v>
      </c>
      <c r="M26" s="1932">
        <f t="shared" si="1"/>
        <v>115.50083840000002</v>
      </c>
      <c r="O26" s="45" t="s">
        <v>813</v>
      </c>
    </row>
    <row r="27" spans="2:15">
      <c r="B27" s="45">
        <v>19</v>
      </c>
      <c r="C27" s="458" t="s">
        <v>1402</v>
      </c>
      <c r="D27" s="46" t="s">
        <v>1135</v>
      </c>
      <c r="E27" s="1932">
        <v>297</v>
      </c>
      <c r="F27" s="912">
        <f t="shared" si="0"/>
        <v>1.1125211409045337E-2</v>
      </c>
      <c r="G27" s="1815" t="s">
        <v>1399</v>
      </c>
      <c r="H27" s="1943"/>
      <c r="I27" s="1934">
        <v>0.93</v>
      </c>
      <c r="J27" s="1803"/>
      <c r="K27" s="1944"/>
      <c r="L27" s="1932">
        <v>297</v>
      </c>
      <c r="M27" s="1932">
        <v>0</v>
      </c>
      <c r="N27" s="25"/>
      <c r="O27" s="45" t="s">
        <v>893</v>
      </c>
    </row>
    <row r="28" spans="2:15" ht="17" thickBot="1">
      <c r="B28" s="1718">
        <v>20</v>
      </c>
      <c r="C28" s="1804" t="s">
        <v>60</v>
      </c>
      <c r="D28" s="1804" t="s">
        <v>1401</v>
      </c>
      <c r="E28" s="1937">
        <v>266.26383600000003</v>
      </c>
      <c r="F28" s="1806">
        <f t="shared" si="0"/>
        <v>9.973876990179719E-3</v>
      </c>
      <c r="G28" s="1808">
        <f>SUM(F9:F28)</f>
        <v>0.72690180039572883</v>
      </c>
      <c r="H28" s="211"/>
      <c r="I28" s="1940">
        <v>0.49299999999999999</v>
      </c>
      <c r="J28" s="1945">
        <v>31.4</v>
      </c>
      <c r="K28" s="612"/>
      <c r="L28" s="1937">
        <v>97</v>
      </c>
      <c r="M28" s="1937">
        <f t="shared" si="1"/>
        <v>169.26383600000003</v>
      </c>
      <c r="O28" s="1718" t="s">
        <v>893</v>
      </c>
    </row>
    <row r="29" spans="2:15">
      <c r="B29" s="90">
        <v>21</v>
      </c>
      <c r="C29" s="56" t="s">
        <v>383</v>
      </c>
      <c r="D29" s="56" t="s">
        <v>384</v>
      </c>
      <c r="E29" s="1936">
        <v>248.77599999999998</v>
      </c>
      <c r="F29" s="1658">
        <f t="shared" si="0"/>
        <v>9.3188067121099741E-3</v>
      </c>
      <c r="G29" s="53"/>
      <c r="H29" s="211"/>
      <c r="I29" s="1942">
        <v>6.0000000000000001E-3</v>
      </c>
      <c r="J29" s="56">
        <v>6.05</v>
      </c>
      <c r="L29" s="1936"/>
      <c r="M29" s="1936"/>
      <c r="O29" s="90" t="s">
        <v>2123</v>
      </c>
    </row>
    <row r="30" spans="2:15">
      <c r="B30" s="45">
        <v>22</v>
      </c>
      <c r="C30" s="46" t="s">
        <v>1843</v>
      </c>
      <c r="D30" s="46" t="s">
        <v>1843</v>
      </c>
      <c r="E30" s="1932">
        <v>215.22432000000001</v>
      </c>
      <c r="F30" s="1028">
        <f t="shared" si="0"/>
        <v>8.0620069372660755E-3</v>
      </c>
      <c r="G30" s="53"/>
      <c r="H30" s="211"/>
      <c r="I30" s="1934"/>
      <c r="J30" s="1297">
        <v>2.7120000000000002</v>
      </c>
      <c r="K30" s="556"/>
      <c r="L30" s="1932"/>
      <c r="M30" s="1932"/>
      <c r="O30" s="45" t="s">
        <v>2123</v>
      </c>
    </row>
    <row r="31" spans="2:15">
      <c r="B31" s="45">
        <v>23</v>
      </c>
      <c r="C31" s="46" t="s">
        <v>83</v>
      </c>
      <c r="D31" s="46" t="s">
        <v>1382</v>
      </c>
      <c r="E31" s="1932">
        <v>199.33799800000003</v>
      </c>
      <c r="F31" s="1028">
        <f t="shared" si="0"/>
        <v>7.4669271703900909E-3</v>
      </c>
      <c r="G31" s="53"/>
      <c r="H31" s="211"/>
      <c r="I31" s="902">
        <v>0.14399999999999999</v>
      </c>
      <c r="J31" s="46">
        <v>6.7</v>
      </c>
      <c r="L31" s="1932"/>
      <c r="M31" s="1932"/>
      <c r="O31" s="45" t="s">
        <v>2123</v>
      </c>
    </row>
    <row r="32" spans="2:15">
      <c r="B32" s="45">
        <v>24</v>
      </c>
      <c r="C32" s="46" t="s">
        <v>1731</v>
      </c>
      <c r="D32" s="46" t="s">
        <v>1626</v>
      </c>
      <c r="E32" s="1932">
        <v>197.85871999999998</v>
      </c>
      <c r="F32" s="1028">
        <f t="shared" si="0"/>
        <v>7.411515451592951E-3</v>
      </c>
      <c r="G32" s="53"/>
      <c r="H32" s="211"/>
      <c r="I32" s="902"/>
      <c r="J32" s="845">
        <v>14.898999999999999</v>
      </c>
      <c r="K32" s="612"/>
      <c r="L32" s="1932"/>
      <c r="M32" s="1932"/>
      <c r="O32" s="45" t="s">
        <v>2123</v>
      </c>
    </row>
    <row r="33" spans="2:15">
      <c r="B33" s="45">
        <v>25</v>
      </c>
      <c r="C33" s="46" t="s">
        <v>1635</v>
      </c>
      <c r="D33" s="46" t="s">
        <v>1632</v>
      </c>
      <c r="E33" s="1932">
        <v>183.36</v>
      </c>
      <c r="F33" s="1028">
        <f t="shared" si="0"/>
        <v>6.8684133466752634E-3</v>
      </c>
      <c r="G33" s="53"/>
      <c r="H33" s="211"/>
      <c r="I33" s="902"/>
      <c r="J33" s="845">
        <v>38.200000000000003</v>
      </c>
      <c r="K33" s="612"/>
      <c r="L33" s="1932"/>
      <c r="M33" s="1932"/>
      <c r="O33" s="45" t="s">
        <v>2123</v>
      </c>
    </row>
    <row r="34" spans="2:15">
      <c r="B34" s="45">
        <v>26</v>
      </c>
      <c r="C34" s="458" t="s">
        <v>1402</v>
      </c>
      <c r="D34" s="46" t="s">
        <v>106</v>
      </c>
      <c r="E34" s="1932">
        <v>172</v>
      </c>
      <c r="F34" s="1028">
        <f t="shared" si="0"/>
        <v>6.4428833749353466E-3</v>
      </c>
      <c r="G34" s="53"/>
      <c r="H34" s="211"/>
      <c r="I34" s="902"/>
      <c r="J34" s="1935"/>
      <c r="K34" s="1930"/>
      <c r="L34" s="1932">
        <v>172</v>
      </c>
      <c r="M34" s="1932">
        <v>0</v>
      </c>
      <c r="O34" s="45" t="s">
        <v>813</v>
      </c>
    </row>
    <row r="35" spans="2:15">
      <c r="B35" s="45">
        <v>27</v>
      </c>
      <c r="C35" s="46" t="s">
        <v>29</v>
      </c>
      <c r="D35" s="46" t="s">
        <v>1599</v>
      </c>
      <c r="E35" s="1932">
        <v>134.166</v>
      </c>
      <c r="F35" s="1028">
        <f t="shared" si="0"/>
        <v>5.0256737841952075E-3</v>
      </c>
      <c r="G35" s="53"/>
      <c r="H35" s="211"/>
      <c r="I35" s="1934">
        <v>0.08</v>
      </c>
      <c r="J35" s="845">
        <v>35.4</v>
      </c>
      <c r="K35" s="612"/>
      <c r="L35" s="1932"/>
      <c r="M35" s="1932"/>
      <c r="O35" s="45" t="s">
        <v>2123</v>
      </c>
    </row>
    <row r="36" spans="2:15">
      <c r="B36" s="45">
        <v>28</v>
      </c>
      <c r="C36" s="46" t="s">
        <v>30</v>
      </c>
      <c r="D36" s="46" t="s">
        <v>6</v>
      </c>
      <c r="E36" s="1932">
        <v>128.82373999999999</v>
      </c>
      <c r="F36" s="1028">
        <f t="shared" si="0"/>
        <v>4.8255600740871717E-3</v>
      </c>
      <c r="G36" s="53"/>
      <c r="H36" s="211"/>
      <c r="I36" s="1934">
        <v>0.1</v>
      </c>
      <c r="J36" s="845">
        <v>13.321999999999999</v>
      </c>
      <c r="K36" s="612"/>
      <c r="L36" s="1932"/>
      <c r="M36" s="1932"/>
      <c r="O36" s="45" t="s">
        <v>2123</v>
      </c>
    </row>
    <row r="37" spans="2:15">
      <c r="B37" s="45">
        <v>29</v>
      </c>
      <c r="C37" s="46" t="s">
        <v>1749</v>
      </c>
      <c r="D37" s="46" t="s">
        <v>1750</v>
      </c>
      <c r="E37" s="1932">
        <v>124.13575</v>
      </c>
      <c r="F37" s="1028">
        <f t="shared" ref="F37:F38" si="2">+E37/$E$41</f>
        <v>4.6499544180821535E-3</v>
      </c>
      <c r="G37" s="1816" t="s">
        <v>1335</v>
      </c>
      <c r="H37" s="211"/>
      <c r="I37" s="1934"/>
      <c r="J37" s="845">
        <v>5.1189999999999998</v>
      </c>
      <c r="K37" s="612"/>
      <c r="L37" s="1932"/>
      <c r="M37" s="1932"/>
      <c r="O37" s="45" t="s">
        <v>2123</v>
      </c>
    </row>
    <row r="38" spans="2:15">
      <c r="B38" s="45">
        <v>30</v>
      </c>
      <c r="C38" s="46" t="s">
        <v>34</v>
      </c>
      <c r="D38" s="46" t="s">
        <v>4</v>
      </c>
      <c r="E38" s="1932">
        <v>116.98030080000001</v>
      </c>
      <c r="F38" s="1028">
        <f t="shared" si="2"/>
        <v>4.3819211349956748E-3</v>
      </c>
      <c r="G38" s="1807">
        <f>SUM(F9:F38)</f>
        <v>0.79135546280005875</v>
      </c>
      <c r="H38" s="211"/>
      <c r="I38" s="902">
        <v>0.34799999999999998</v>
      </c>
      <c r="J38" s="845">
        <v>51.2</v>
      </c>
      <c r="K38" s="612"/>
      <c r="L38" s="1932">
        <v>197.6</v>
      </c>
      <c r="M38" s="1932">
        <f>+E38-L38</f>
        <v>-80.619699199999985</v>
      </c>
      <c r="O38" s="45" t="s">
        <v>813</v>
      </c>
    </row>
    <row r="39" spans="2:15" ht="7" customHeight="1">
      <c r="B39" s="30"/>
      <c r="E39" s="211"/>
      <c r="F39" s="211"/>
      <c r="G39" s="118"/>
      <c r="H39" s="211"/>
      <c r="I39" s="152"/>
      <c r="J39" s="612"/>
      <c r="K39" s="612"/>
      <c r="L39" s="211"/>
    </row>
    <row r="40" spans="2:15">
      <c r="B40" s="30"/>
      <c r="D40" s="46" t="s">
        <v>1400</v>
      </c>
      <c r="E40" s="318">
        <v>5570</v>
      </c>
      <c r="F40" s="211"/>
      <c r="G40" s="118"/>
      <c r="H40" s="211"/>
      <c r="I40" s="2080" t="s">
        <v>1751</v>
      </c>
      <c r="J40" s="2080"/>
      <c r="K40" s="2080"/>
      <c r="L40" s="2080"/>
      <c r="M40" s="336">
        <f>SUM(M9:M38)</f>
        <v>2998.8975160999994</v>
      </c>
    </row>
    <row r="41" spans="2:15">
      <c r="B41" s="30"/>
      <c r="D41" s="47" t="s">
        <v>2125</v>
      </c>
      <c r="E41" s="336">
        <f>SUM(E9:E40)</f>
        <v>26696.121905470001</v>
      </c>
      <c r="F41" s="211"/>
      <c r="G41" s="118"/>
      <c r="H41" s="211"/>
      <c r="I41" s="152"/>
      <c r="J41" s="612"/>
      <c r="K41" s="612"/>
      <c r="L41" s="211"/>
    </row>
    <row r="42" spans="2:15" ht="7" customHeight="1">
      <c r="B42" s="30"/>
      <c r="E42" s="211"/>
      <c r="F42" s="211"/>
      <c r="G42" s="118"/>
      <c r="H42" s="211"/>
      <c r="I42" s="152"/>
      <c r="J42" s="612"/>
      <c r="K42" s="612"/>
      <c r="L42" s="211"/>
    </row>
    <row r="43" spans="2:15">
      <c r="B43" s="30"/>
      <c r="C43" s="1220" t="s">
        <v>1402</v>
      </c>
      <c r="D43" t="s">
        <v>2128</v>
      </c>
      <c r="E43" s="469"/>
      <c r="F43" s="211"/>
      <c r="G43" s="118"/>
      <c r="H43" s="211"/>
      <c r="I43" s="152"/>
      <c r="J43" s="612"/>
      <c r="K43" s="612"/>
      <c r="L43" s="211"/>
    </row>
    <row r="44" spans="2:15">
      <c r="B44" s="30"/>
      <c r="D44" t="s">
        <v>2263</v>
      </c>
      <c r="E44" s="469"/>
      <c r="F44" s="211"/>
      <c r="G44" s="118"/>
      <c r="H44" s="211"/>
      <c r="I44" s="152"/>
      <c r="J44" s="612"/>
      <c r="K44" s="612"/>
      <c r="L44" s="211"/>
    </row>
    <row r="45" spans="2:15">
      <c r="B45" s="30"/>
      <c r="D45" t="s">
        <v>2127</v>
      </c>
      <c r="E45" s="469"/>
      <c r="F45" s="211"/>
      <c r="G45" s="118"/>
      <c r="H45" s="211"/>
      <c r="I45" s="152"/>
      <c r="J45" s="612"/>
      <c r="K45" s="612"/>
      <c r="L45" s="211"/>
    </row>
    <row r="46" spans="2:15">
      <c r="B46" s="30"/>
      <c r="D46" t="s">
        <v>2126</v>
      </c>
      <c r="E46" s="469"/>
      <c r="F46" s="211"/>
      <c r="G46" s="118"/>
      <c r="H46" s="211"/>
      <c r="I46" s="152"/>
      <c r="J46" s="612"/>
      <c r="K46" s="612"/>
      <c r="L46" s="211"/>
    </row>
    <row r="47" spans="2:15">
      <c r="B47" s="30"/>
      <c r="E47" s="469"/>
      <c r="F47" s="211"/>
      <c r="G47" s="118"/>
      <c r="H47" s="211"/>
      <c r="I47" s="152"/>
      <c r="J47" s="612"/>
      <c r="K47" s="612"/>
      <c r="L47" s="211"/>
    </row>
    <row r="48" spans="2:15">
      <c r="D48" s="11" t="s">
        <v>2130</v>
      </c>
    </row>
    <row r="51" spans="3:15">
      <c r="C51" t="s">
        <v>1276</v>
      </c>
      <c r="D51" t="s">
        <v>56</v>
      </c>
      <c r="E51" s="211">
        <v>93.6096</v>
      </c>
      <c r="F51" s="211"/>
      <c r="G51" s="118"/>
      <c r="H51" s="211"/>
      <c r="I51" s="152">
        <v>0.3</v>
      </c>
      <c r="J51" s="612">
        <v>7.5</v>
      </c>
      <c r="K51" s="612"/>
      <c r="L51" s="211">
        <v>80</v>
      </c>
      <c r="O51" s="30" t="s">
        <v>813</v>
      </c>
    </row>
    <row r="52" spans="3:15">
      <c r="C52" t="s">
        <v>2024</v>
      </c>
      <c r="D52" t="s">
        <v>1977</v>
      </c>
      <c r="E52" s="211">
        <v>74.801408000000009</v>
      </c>
      <c r="F52" s="211"/>
      <c r="G52" s="118"/>
      <c r="H52" s="211"/>
      <c r="I52" s="756">
        <v>0.34799999999999998</v>
      </c>
      <c r="J52" s="612">
        <v>51.2</v>
      </c>
      <c r="K52" s="612"/>
      <c r="L52" s="211">
        <v>148.30000000000001</v>
      </c>
      <c r="O52" s="30" t="s">
        <v>813</v>
      </c>
    </row>
    <row r="53" spans="3:15">
      <c r="C53" t="s">
        <v>1844</v>
      </c>
      <c r="D53" t="s">
        <v>1845</v>
      </c>
      <c r="E53" s="211">
        <v>68.46444000000001</v>
      </c>
      <c r="F53" s="211"/>
      <c r="G53" s="118"/>
      <c r="H53" s="211"/>
      <c r="I53" s="756"/>
      <c r="J53" s="556">
        <v>2.4860000000000002</v>
      </c>
      <c r="K53" s="556"/>
      <c r="L53" s="211"/>
      <c r="O53" s="30" t="s">
        <v>2123</v>
      </c>
    </row>
    <row r="54" spans="3:15">
      <c r="C54" t="s">
        <v>116</v>
      </c>
      <c r="D54" t="s">
        <v>117</v>
      </c>
      <c r="E54" s="211">
        <v>67.6317545</v>
      </c>
      <c r="F54" s="211"/>
      <c r="G54" s="118"/>
      <c r="H54" s="211"/>
      <c r="I54" s="756">
        <v>0.18190000000000001</v>
      </c>
      <c r="J54" s="612">
        <v>36.549999999999997</v>
      </c>
      <c r="K54" s="612"/>
      <c r="L54" s="211"/>
      <c r="O54" s="30" t="s">
        <v>2123</v>
      </c>
    </row>
    <row r="55" spans="3:15">
      <c r="C55" t="s">
        <v>1847</v>
      </c>
      <c r="D55" t="s">
        <v>1846</v>
      </c>
      <c r="E55" s="211">
        <v>60.217199999999998</v>
      </c>
      <c r="F55" s="211"/>
      <c r="G55" s="118"/>
      <c r="H55" s="211"/>
      <c r="I55" s="756"/>
      <c r="J55" s="556">
        <v>1.29</v>
      </c>
      <c r="K55" s="556"/>
      <c r="L55" s="211"/>
      <c r="O55" s="30" t="s">
        <v>2123</v>
      </c>
    </row>
    <row r="56" spans="3:15">
      <c r="C56" t="s">
        <v>74</v>
      </c>
      <c r="D56" t="s">
        <v>73</v>
      </c>
      <c r="E56" s="211">
        <v>54.830999999999996</v>
      </c>
      <c r="F56" s="211"/>
      <c r="G56" s="118"/>
      <c r="H56" s="211"/>
      <c r="I56" s="152">
        <v>0.36</v>
      </c>
      <c r="J56" s="612">
        <v>37.299999999999997</v>
      </c>
      <c r="K56" s="612"/>
      <c r="L56" s="211">
        <v>163</v>
      </c>
      <c r="O56" s="30" t="s">
        <v>813</v>
      </c>
    </row>
    <row r="57" spans="3:15">
      <c r="C57" t="s">
        <v>2026</v>
      </c>
      <c r="D57" t="s">
        <v>1973</v>
      </c>
      <c r="E57" s="211">
        <v>41.5963955</v>
      </c>
      <c r="F57" s="211"/>
      <c r="G57" s="118"/>
      <c r="H57" s="211"/>
      <c r="I57" s="1429">
        <v>3.3799999999999997E-2</v>
      </c>
      <c r="J57" s="612">
        <v>10.3</v>
      </c>
      <c r="K57" s="612"/>
      <c r="L57" s="211"/>
      <c r="O57" s="30" t="s">
        <v>813</v>
      </c>
    </row>
    <row r="58" spans="3:15">
      <c r="C58" t="s">
        <v>2025</v>
      </c>
      <c r="D58" t="s">
        <v>2064</v>
      </c>
      <c r="E58" s="211">
        <v>37.616860159999995</v>
      </c>
      <c r="F58" s="211"/>
      <c r="G58" s="118"/>
      <c r="H58" s="211"/>
      <c r="I58" s="756">
        <v>0.34799999999999998</v>
      </c>
      <c r="J58" s="612">
        <v>51.2</v>
      </c>
      <c r="K58" s="612"/>
      <c r="L58" s="211">
        <v>52.6</v>
      </c>
      <c r="O58" s="30" t="s">
        <v>813</v>
      </c>
    </row>
    <row r="59" spans="3:15">
      <c r="C59" t="s">
        <v>1130</v>
      </c>
      <c r="D59" t="s">
        <v>1129</v>
      </c>
      <c r="E59" s="211">
        <v>36.529068240000001</v>
      </c>
      <c r="F59" s="211"/>
      <c r="G59" s="118"/>
      <c r="H59" s="211"/>
      <c r="I59" s="756"/>
      <c r="J59" s="1930">
        <v>5.8248000000000001E-2</v>
      </c>
      <c r="K59" s="1930"/>
      <c r="L59" s="211"/>
      <c r="O59" s="30" t="s">
        <v>2123</v>
      </c>
    </row>
    <row r="60" spans="3:15">
      <c r="C60" t="s">
        <v>97</v>
      </c>
      <c r="D60" t="s">
        <v>88</v>
      </c>
      <c r="E60" s="211">
        <v>33.670319999999997</v>
      </c>
      <c r="F60" s="211"/>
      <c r="G60" s="118"/>
      <c r="H60" s="211"/>
      <c r="I60" s="756"/>
      <c r="J60" s="1930">
        <v>1.1739999999999999</v>
      </c>
      <c r="K60" s="1930"/>
      <c r="L60" s="211"/>
      <c r="O60" s="30" t="s">
        <v>2123</v>
      </c>
    </row>
    <row r="61" spans="3:15">
      <c r="C61" t="s">
        <v>1277</v>
      </c>
      <c r="D61" t="s">
        <v>1275</v>
      </c>
      <c r="E61" s="211">
        <v>32.1783</v>
      </c>
      <c r="F61" s="211"/>
      <c r="G61" s="118"/>
      <c r="H61" s="211"/>
      <c r="I61" s="756">
        <v>0.27510000000000001</v>
      </c>
      <c r="J61" s="556">
        <v>1.65</v>
      </c>
      <c r="K61" s="556"/>
      <c r="L61" s="211"/>
      <c r="O61" s="30" t="s">
        <v>813</v>
      </c>
    </row>
    <row r="62" spans="3:15">
      <c r="C62" t="s">
        <v>98</v>
      </c>
      <c r="D62" t="s">
        <v>87</v>
      </c>
      <c r="E62" s="211">
        <v>30.573473799999999</v>
      </c>
      <c r="F62" s="211"/>
      <c r="G62" s="118"/>
      <c r="H62" s="211"/>
      <c r="I62" s="756"/>
      <c r="J62" s="1930">
        <v>0.37596499999999999</v>
      </c>
      <c r="K62" s="1930"/>
      <c r="L62" s="211"/>
      <c r="O62" s="30" t="s">
        <v>2123</v>
      </c>
    </row>
    <row r="63" spans="3:15">
      <c r="C63" t="s">
        <v>2236</v>
      </c>
      <c r="D63" t="s">
        <v>127</v>
      </c>
      <c r="E63" s="211">
        <v>28.915301459999998</v>
      </c>
      <c r="F63" s="211"/>
      <c r="G63" s="118"/>
      <c r="H63" s="211"/>
      <c r="I63" s="152">
        <v>0.23</v>
      </c>
      <c r="J63" s="612">
        <v>5.0369999999999999</v>
      </c>
      <c r="K63" s="612"/>
      <c r="L63" s="211">
        <v>32.174999999999997</v>
      </c>
      <c r="O63" s="30" t="s">
        <v>813</v>
      </c>
    </row>
    <row r="64" spans="3:15">
      <c r="C64" t="s">
        <v>93</v>
      </c>
      <c r="D64" t="s">
        <v>92</v>
      </c>
      <c r="E64" s="211">
        <v>28.474492999999999</v>
      </c>
      <c r="F64" s="211"/>
      <c r="G64" s="118"/>
      <c r="H64" s="211"/>
      <c r="I64" s="756"/>
      <c r="J64" s="1930">
        <v>9.3700000000000006E-2</v>
      </c>
      <c r="K64" s="1930"/>
      <c r="L64" s="211"/>
      <c r="O64" s="30" t="s">
        <v>2123</v>
      </c>
    </row>
    <row r="65" spans="2:15">
      <c r="C65" t="s">
        <v>84</v>
      </c>
      <c r="D65" t="s">
        <v>85</v>
      </c>
      <c r="E65" s="211">
        <v>26.462078999999996</v>
      </c>
      <c r="F65" s="211"/>
      <c r="G65" s="118"/>
      <c r="H65" s="211"/>
      <c r="I65" s="756"/>
      <c r="J65" s="1930">
        <v>0.35909999999999997</v>
      </c>
      <c r="K65" s="1930"/>
      <c r="L65" s="211"/>
      <c r="O65" s="30" t="s">
        <v>2123</v>
      </c>
    </row>
    <row r="66" spans="2:15">
      <c r="C66" t="s">
        <v>94</v>
      </c>
      <c r="D66" t="s">
        <v>91</v>
      </c>
      <c r="E66" s="211">
        <v>22.160999999999998</v>
      </c>
      <c r="F66" s="211"/>
      <c r="G66" s="118"/>
      <c r="H66" s="211"/>
      <c r="I66" s="756"/>
      <c r="J66" s="1930">
        <v>0.89</v>
      </c>
      <c r="K66" s="1930"/>
      <c r="L66" s="211"/>
      <c r="O66" s="30" t="s">
        <v>2123</v>
      </c>
    </row>
    <row r="67" spans="2:15">
      <c r="C67" t="s">
        <v>95</v>
      </c>
      <c r="D67" t="s">
        <v>90</v>
      </c>
      <c r="E67" s="211">
        <v>18.199453999999999</v>
      </c>
      <c r="F67" s="211"/>
      <c r="G67" s="118"/>
      <c r="H67" s="211"/>
      <c r="I67" s="756"/>
      <c r="J67" s="1930">
        <v>0.1729</v>
      </c>
      <c r="K67" s="1930"/>
      <c r="L67" s="211"/>
      <c r="O67" s="30" t="s">
        <v>2123</v>
      </c>
    </row>
    <row r="68" spans="2:15">
      <c r="C68" t="s">
        <v>96</v>
      </c>
      <c r="D68" t="s">
        <v>89</v>
      </c>
      <c r="E68" s="211">
        <v>15.19013</v>
      </c>
      <c r="F68" s="211"/>
      <c r="G68" s="118"/>
      <c r="H68" s="211"/>
      <c r="I68" s="756"/>
      <c r="J68" s="1930">
        <v>7.3400000000000007E-2</v>
      </c>
      <c r="K68" s="1930"/>
      <c r="L68" s="211"/>
      <c r="O68" s="30" t="s">
        <v>2123</v>
      </c>
    </row>
    <row r="69" spans="2:15">
      <c r="C69" t="s">
        <v>951</v>
      </c>
      <c r="D69" t="s">
        <v>953</v>
      </c>
      <c r="E69" s="211">
        <v>0</v>
      </c>
      <c r="F69" s="211"/>
      <c r="G69" s="118"/>
      <c r="H69" s="211"/>
      <c r="I69" s="756"/>
      <c r="J69" s="612">
        <v>41.6</v>
      </c>
      <c r="K69" s="612"/>
      <c r="L69" s="211"/>
      <c r="O69" s="30" t="s">
        <v>2258</v>
      </c>
    </row>
    <row r="70" spans="2:15">
      <c r="C70" t="s">
        <v>1402</v>
      </c>
      <c r="D70" t="s">
        <v>1732</v>
      </c>
      <c r="E70" s="211"/>
      <c r="F70" s="211"/>
      <c r="G70" s="118"/>
      <c r="H70" s="211"/>
      <c r="I70" s="756">
        <v>0.65659999999999996</v>
      </c>
      <c r="J70" s="612"/>
      <c r="K70" s="612"/>
      <c r="L70" s="211">
        <v>0</v>
      </c>
      <c r="O70" s="30" t="s">
        <v>893</v>
      </c>
    </row>
    <row r="71" spans="2:15">
      <c r="C71" t="s">
        <v>1402</v>
      </c>
      <c r="D71" t="s">
        <v>1452</v>
      </c>
      <c r="E71" s="211"/>
      <c r="F71" s="211"/>
      <c r="G71" s="118"/>
      <c r="H71" s="211"/>
      <c r="I71" s="756">
        <v>0.88500000000000001</v>
      </c>
      <c r="J71" s="612"/>
      <c r="K71" s="612"/>
      <c r="L71" s="211"/>
      <c r="O71" s="30" t="s">
        <v>893</v>
      </c>
    </row>
    <row r="72" spans="2:15">
      <c r="E72" s="211"/>
      <c r="F72" s="211"/>
      <c r="G72" s="118"/>
      <c r="H72" s="211"/>
      <c r="I72" s="756"/>
      <c r="J72" s="612"/>
      <c r="K72" s="612"/>
      <c r="L72" s="211"/>
    </row>
    <row r="73" spans="2:15">
      <c r="B73" s="45">
        <v>19</v>
      </c>
      <c r="C73" s="46" t="s">
        <v>30</v>
      </c>
      <c r="D73" s="46" t="s">
        <v>1008</v>
      </c>
      <c r="E73" s="1932">
        <v>300</v>
      </c>
      <c r="F73" s="912">
        <f>+E73/$E$41</f>
        <v>1.1237587281863977E-2</v>
      </c>
      <c r="G73" s="1815" t="s">
        <v>1399</v>
      </c>
      <c r="H73" s="211"/>
      <c r="I73" s="1934"/>
      <c r="J73" s="46">
        <v>13</v>
      </c>
      <c r="L73" s="1932"/>
      <c r="M73" s="1932"/>
      <c r="O73" s="45" t="s">
        <v>2258</v>
      </c>
    </row>
    <row r="74" spans="2:15">
      <c r="B74" s="45">
        <v>24</v>
      </c>
      <c r="C74" s="46" t="s">
        <v>30</v>
      </c>
      <c r="D74" s="46" t="s">
        <v>1008</v>
      </c>
      <c r="E74" s="1932">
        <v>200</v>
      </c>
      <c r="F74" s="1028">
        <f>+E74/$E$41</f>
        <v>7.4917248545759846E-3</v>
      </c>
      <c r="G74" s="425"/>
      <c r="H74" s="211"/>
      <c r="I74" s="1934"/>
      <c r="J74" s="46">
        <v>12.3</v>
      </c>
      <c r="L74" s="1932"/>
      <c r="M74" s="1932"/>
      <c r="O74" s="45" t="s">
        <v>2258</v>
      </c>
    </row>
    <row r="75" spans="2:15">
      <c r="C75" t="s">
        <v>74</v>
      </c>
      <c r="D75" t="s">
        <v>73</v>
      </c>
      <c r="E75" s="211">
        <v>100</v>
      </c>
      <c r="F75" s="211"/>
      <c r="G75" s="118"/>
      <c r="H75" s="211"/>
      <c r="I75" s="756"/>
      <c r="J75" s="362">
        <v>3</v>
      </c>
      <c r="K75" s="362"/>
      <c r="L75" s="211"/>
      <c r="O75" s="30" t="s">
        <v>2258</v>
      </c>
    </row>
    <row r="76" spans="2:15">
      <c r="E76" s="211"/>
      <c r="F76" s="211"/>
      <c r="G76" s="118"/>
      <c r="H76" s="211"/>
      <c r="I76" s="756"/>
      <c r="J76" s="612"/>
      <c r="K76" s="612"/>
      <c r="L76" s="211"/>
    </row>
    <row r="77" spans="2:15">
      <c r="C77" s="11" t="s">
        <v>834</v>
      </c>
      <c r="D77" s="11"/>
      <c r="E77" s="1931">
        <v>2723</v>
      </c>
      <c r="F77" s="1931"/>
      <c r="G77" s="1535"/>
      <c r="H77" s="211"/>
      <c r="I77" s="756"/>
      <c r="J77" s="556"/>
      <c r="K77" s="556"/>
      <c r="L77" s="211"/>
      <c r="O77" s="30" t="s">
        <v>2123</v>
      </c>
    </row>
    <row r="78" spans="2:15">
      <c r="C78" s="11" t="s">
        <v>153</v>
      </c>
      <c r="D78" s="11"/>
      <c r="E78" s="1931">
        <v>912</v>
      </c>
      <c r="F78" s="1931"/>
      <c r="G78" s="1535"/>
      <c r="H78" s="211"/>
      <c r="I78" s="756"/>
      <c r="J78" s="556"/>
      <c r="K78" s="556"/>
      <c r="L78" s="211"/>
      <c r="O78" s="30" t="s">
        <v>2123</v>
      </c>
    </row>
    <row r="79" spans="2:15">
      <c r="C79" s="11"/>
      <c r="D79" s="11" t="s">
        <v>946</v>
      </c>
      <c r="E79" s="1931">
        <v>546</v>
      </c>
      <c r="F79" s="1931"/>
      <c r="G79" s="1535"/>
      <c r="H79" s="211"/>
      <c r="I79" s="756"/>
      <c r="J79" s="612"/>
      <c r="K79" s="612"/>
      <c r="L79" s="211">
        <v>546.30000000000018</v>
      </c>
      <c r="O79" s="30" t="s">
        <v>813</v>
      </c>
    </row>
    <row r="80" spans="2:15">
      <c r="D80" s="11" t="s">
        <v>945</v>
      </c>
      <c r="E80" s="1931">
        <v>18</v>
      </c>
      <c r="F80" s="1931"/>
      <c r="G80" s="1535"/>
      <c r="H80" s="211"/>
      <c r="I80" s="152"/>
      <c r="J80" s="362"/>
      <c r="K80" s="362"/>
      <c r="L80" s="211">
        <v>18</v>
      </c>
      <c r="O80" s="30" t="s">
        <v>893</v>
      </c>
    </row>
    <row r="81" spans="3:12">
      <c r="D81" s="11"/>
      <c r="E81" s="1931"/>
      <c r="F81" s="1931"/>
      <c r="G81" s="1535"/>
      <c r="H81" s="211"/>
      <c r="I81" s="152"/>
      <c r="J81" s="362"/>
      <c r="K81" s="362"/>
      <c r="L81" s="211"/>
    </row>
    <row r="82" spans="3:12">
      <c r="C82" t="s">
        <v>2261</v>
      </c>
      <c r="E82" s="211">
        <f>SUM(E51:E80)</f>
        <v>5570.1222776599998</v>
      </c>
    </row>
    <row r="84" spans="3:12">
      <c r="C84" t="s">
        <v>1561</v>
      </c>
      <c r="E84" s="211">
        <v>26696.25394413</v>
      </c>
      <c r="F84" s="211"/>
      <c r="G84" s="118"/>
      <c r="H84" s="211"/>
    </row>
  </sheetData>
  <sortState xmlns:xlrd2="http://schemas.microsoft.com/office/spreadsheetml/2017/richdata2" ref="B9:L71">
    <sortCondition descending="1" ref="E9:E71"/>
  </sortState>
  <mergeCells count="2">
    <mergeCell ref="I7:J7"/>
    <mergeCell ref="I40:L4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2:O789"/>
  <sheetViews>
    <sheetView topLeftCell="A653" zoomScale="125" zoomScaleNormal="125" zoomScalePageLayoutView="125" workbookViewId="0">
      <selection activeCell="E666" sqref="E666"/>
    </sheetView>
  </sheetViews>
  <sheetFormatPr baseColWidth="10" defaultRowHeight="16"/>
  <cols>
    <col min="1" max="1" width="2.5" customWidth="1"/>
    <col min="2" max="2" width="7" customWidth="1"/>
    <col min="3" max="3" width="1.1640625" customWidth="1"/>
    <col min="4" max="4" width="7.5" style="30" bestFit="1" customWidth="1"/>
    <col min="5" max="5" width="29.5" customWidth="1"/>
    <col min="6" max="6" width="19" customWidth="1"/>
    <col min="7" max="8" width="7.83203125" style="53" customWidth="1"/>
    <col min="9" max="9" width="1.5" customWidth="1"/>
    <col min="10" max="11" width="7.83203125" style="363" customWidth="1"/>
    <col min="12" max="12" width="1.1640625" customWidth="1"/>
    <col min="13" max="13" width="61.33203125" customWidth="1"/>
    <col min="14" max="14" width="25.1640625" customWidth="1"/>
    <col min="18" max="18" width="19" bestFit="1" customWidth="1"/>
    <col min="19" max="19" width="14.1640625" bestFit="1" customWidth="1"/>
    <col min="20" max="20" width="8.33203125" customWidth="1"/>
    <col min="21" max="21" width="9.33203125" customWidth="1"/>
    <col min="26" max="26" width="4.6640625" customWidth="1"/>
  </cols>
  <sheetData>
    <row r="2" spans="4:13" ht="21">
      <c r="E2" s="4" t="s">
        <v>232</v>
      </c>
    </row>
    <row r="3" spans="4:13" ht="6" customHeight="1"/>
    <row r="4" spans="4:13" ht="15" customHeight="1"/>
    <row r="5" spans="4:13" ht="15" customHeight="1">
      <c r="D5" s="30" t="s">
        <v>509</v>
      </c>
      <c r="E5" s="1" t="s">
        <v>510</v>
      </c>
    </row>
    <row r="6" spans="4:13" ht="15" customHeight="1"/>
    <row r="7" spans="4:13" ht="15" customHeight="1">
      <c r="D7" s="14">
        <v>1985</v>
      </c>
      <c r="E7" s="133" t="s">
        <v>498</v>
      </c>
      <c r="F7" s="24"/>
      <c r="G7" s="57"/>
      <c r="H7" s="57">
        <v>10</v>
      </c>
      <c r="I7" s="24"/>
      <c r="J7" s="383"/>
      <c r="K7" s="383"/>
      <c r="L7" s="24"/>
      <c r="M7" s="18"/>
    </row>
    <row r="8" spans="4:13" ht="15" customHeight="1">
      <c r="D8" s="58">
        <v>1989</v>
      </c>
      <c r="E8" t="s">
        <v>493</v>
      </c>
      <c r="H8" s="53">
        <v>29</v>
      </c>
      <c r="J8" s="385"/>
      <c r="K8" s="385"/>
      <c r="M8" s="60"/>
    </row>
    <row r="9" spans="4:13" ht="15" customHeight="1">
      <c r="D9" s="58">
        <v>1990</v>
      </c>
      <c r="E9" t="s">
        <v>495</v>
      </c>
      <c r="H9" s="53">
        <v>58</v>
      </c>
      <c r="J9" s="385"/>
      <c r="K9" s="385"/>
      <c r="M9" s="60"/>
    </row>
    <row r="10" spans="4:13" ht="15" customHeight="1">
      <c r="D10" s="58">
        <v>1994</v>
      </c>
      <c r="E10" t="s">
        <v>494</v>
      </c>
      <c r="H10" s="53">
        <v>155</v>
      </c>
      <c r="J10" s="385"/>
      <c r="K10" s="385"/>
      <c r="M10" s="60" t="s">
        <v>502</v>
      </c>
    </row>
    <row r="11" spans="4:13" ht="15" customHeight="1">
      <c r="D11" s="19">
        <v>2003</v>
      </c>
      <c r="E11" s="25" t="s">
        <v>496</v>
      </c>
      <c r="F11" s="25" t="s">
        <v>1978</v>
      </c>
      <c r="G11" s="61"/>
      <c r="H11" s="61"/>
      <c r="I11" s="25"/>
      <c r="J11" s="384"/>
      <c r="K11" s="384"/>
      <c r="L11" s="25"/>
      <c r="M11" s="23" t="s">
        <v>497</v>
      </c>
    </row>
    <row r="12" spans="4:13" ht="15" customHeight="1"/>
    <row r="13" spans="4:13" ht="15" customHeight="1">
      <c r="D13" s="14">
        <v>1995</v>
      </c>
      <c r="E13" s="24" t="s">
        <v>508</v>
      </c>
      <c r="F13" s="24"/>
      <c r="G13" s="57"/>
      <c r="H13" s="57">
        <v>228</v>
      </c>
      <c r="I13" s="24"/>
      <c r="J13" s="383"/>
      <c r="K13" s="383"/>
      <c r="L13" s="24"/>
      <c r="M13" s="18" t="s">
        <v>491</v>
      </c>
    </row>
    <row r="14" spans="4:13" ht="15" customHeight="1">
      <c r="D14" s="58">
        <v>1996</v>
      </c>
      <c r="E14" t="s">
        <v>500</v>
      </c>
      <c r="J14" s="385"/>
      <c r="K14" s="385"/>
      <c r="M14" s="60"/>
    </row>
    <row r="15" spans="4:13" ht="15" customHeight="1">
      <c r="D15" s="58">
        <v>1999</v>
      </c>
      <c r="E15" t="s">
        <v>499</v>
      </c>
      <c r="J15" s="385"/>
      <c r="K15" s="385"/>
      <c r="M15" s="60"/>
    </row>
    <row r="16" spans="4:13" ht="15" customHeight="1">
      <c r="D16" s="19">
        <v>2002</v>
      </c>
      <c r="E16" s="25" t="s">
        <v>492</v>
      </c>
      <c r="F16" s="25" t="s">
        <v>501</v>
      </c>
      <c r="G16" s="61"/>
      <c r="H16" s="61"/>
      <c r="I16" s="25"/>
      <c r="J16" s="384"/>
      <c r="K16" s="384"/>
      <c r="L16" s="25"/>
      <c r="M16" s="23"/>
    </row>
    <row r="17" spans="4:13" ht="15" customHeight="1"/>
    <row r="18" spans="4:13" ht="15" customHeight="1">
      <c r="D18" s="14">
        <v>1998</v>
      </c>
      <c r="E18" s="133" t="s">
        <v>503</v>
      </c>
      <c r="F18" s="24"/>
      <c r="G18" s="57"/>
      <c r="H18" s="57">
        <v>680</v>
      </c>
      <c r="I18" s="24"/>
      <c r="J18" s="383"/>
      <c r="K18" s="383"/>
      <c r="L18" s="24"/>
      <c r="M18" s="18"/>
    </row>
    <row r="19" spans="4:13" ht="15" customHeight="1">
      <c r="D19" s="58">
        <v>2000</v>
      </c>
      <c r="E19" t="s">
        <v>504</v>
      </c>
      <c r="H19" s="53">
        <v>65</v>
      </c>
      <c r="J19" s="385"/>
      <c r="K19" s="385"/>
      <c r="M19" s="60"/>
    </row>
    <row r="20" spans="4:13" ht="15" customHeight="1">
      <c r="D20" s="58">
        <v>2006</v>
      </c>
      <c r="E20" t="s">
        <v>505</v>
      </c>
      <c r="J20" s="385"/>
      <c r="K20" s="385"/>
      <c r="M20" s="60"/>
    </row>
    <row r="21" spans="4:13" ht="15" customHeight="1">
      <c r="D21" s="58">
        <v>2011</v>
      </c>
      <c r="E21" t="s">
        <v>279</v>
      </c>
      <c r="H21" s="53">
        <v>294</v>
      </c>
      <c r="J21" s="385"/>
      <c r="K21" s="385"/>
      <c r="M21" s="60"/>
    </row>
    <row r="22" spans="4:13" ht="15" customHeight="1">
      <c r="D22" s="19"/>
      <c r="E22" s="25" t="s">
        <v>506</v>
      </c>
      <c r="F22" s="25"/>
      <c r="G22" s="61"/>
      <c r="H22" s="61"/>
      <c r="I22" s="25"/>
      <c r="J22" s="384"/>
      <c r="K22" s="384"/>
      <c r="L22" s="25"/>
      <c r="M22" s="23" t="s">
        <v>507</v>
      </c>
    </row>
    <row r="23" spans="4:13" ht="15" customHeight="1"/>
    <row r="24" spans="4:13" ht="15" customHeight="1">
      <c r="E24" s="1" t="s">
        <v>511</v>
      </c>
    </row>
    <row r="25" spans="4:13" ht="15" customHeight="1"/>
    <row r="26" spans="4:13" ht="15" customHeight="1">
      <c r="D26" s="26">
        <v>2001</v>
      </c>
      <c r="E26" s="608" t="s">
        <v>527</v>
      </c>
      <c r="F26" s="63" t="s">
        <v>529</v>
      </c>
      <c r="G26" s="64"/>
      <c r="H26" s="64"/>
      <c r="I26" s="63"/>
      <c r="J26" s="367"/>
      <c r="K26" s="367"/>
      <c r="L26" s="63"/>
      <c r="M26" s="28" t="s">
        <v>530</v>
      </c>
    </row>
    <row r="27" spans="4:13" ht="15" customHeight="1">
      <c r="D27" s="26">
        <v>2002</v>
      </c>
      <c r="E27" s="63" t="s">
        <v>528</v>
      </c>
      <c r="F27" s="63" t="s">
        <v>338</v>
      </c>
      <c r="G27" s="64"/>
      <c r="H27" s="64">
        <v>35</v>
      </c>
      <c r="I27" s="63"/>
      <c r="J27" s="367"/>
      <c r="K27" s="367"/>
      <c r="L27" s="63"/>
      <c r="M27" s="28"/>
    </row>
    <row r="28" spans="4:13" ht="15" customHeight="1">
      <c r="D28" s="412" t="s">
        <v>417</v>
      </c>
      <c r="E28" s="63" t="s">
        <v>420</v>
      </c>
      <c r="F28" s="63"/>
      <c r="G28" s="64"/>
      <c r="H28" s="64"/>
      <c r="I28" s="63"/>
      <c r="J28" s="367"/>
      <c r="K28" s="367">
        <v>152.30000000000001</v>
      </c>
      <c r="L28" s="63"/>
      <c r="M28" s="28" t="s">
        <v>419</v>
      </c>
    </row>
    <row r="29" spans="4:13" ht="15" customHeight="1">
      <c r="D29" s="412">
        <v>2008</v>
      </c>
      <c r="E29" s="63" t="s">
        <v>584</v>
      </c>
      <c r="F29" s="63" t="s">
        <v>586</v>
      </c>
      <c r="G29" s="64"/>
      <c r="H29" s="64"/>
      <c r="I29" s="63"/>
      <c r="J29" s="367"/>
      <c r="K29" s="367">
        <v>347</v>
      </c>
      <c r="L29" s="63"/>
      <c r="M29" s="28" t="s">
        <v>585</v>
      </c>
    </row>
    <row r="30" spans="4:13" ht="15" customHeight="1">
      <c r="D30" s="412" t="s">
        <v>418</v>
      </c>
      <c r="E30" s="63" t="s">
        <v>411</v>
      </c>
      <c r="F30" s="63" t="s">
        <v>412</v>
      </c>
      <c r="G30" s="64"/>
      <c r="H30" s="64"/>
      <c r="I30" s="63"/>
      <c r="J30" s="367"/>
      <c r="K30" s="367">
        <v>329</v>
      </c>
      <c r="L30" s="63"/>
      <c r="M30" s="28" t="s">
        <v>413</v>
      </c>
    </row>
    <row r="31" spans="4:13" ht="15" customHeight="1">
      <c r="D31" s="412">
        <v>2009</v>
      </c>
      <c r="E31" s="63" t="s">
        <v>739</v>
      </c>
      <c r="F31" s="63" t="s">
        <v>728</v>
      </c>
      <c r="G31" s="64"/>
      <c r="H31" s="64"/>
      <c r="I31" s="63"/>
      <c r="J31" s="367"/>
      <c r="K31" s="367"/>
      <c r="L31" s="63"/>
      <c r="M31" s="28"/>
    </row>
    <row r="32" spans="4:13" ht="15" customHeight="1"/>
    <row r="33" spans="4:14" ht="15" customHeight="1"/>
    <row r="34" spans="4:14" ht="15" customHeight="1">
      <c r="G34" s="2085" t="s">
        <v>330</v>
      </c>
      <c r="H34" s="2086"/>
      <c r="J34" s="2087" t="s">
        <v>331</v>
      </c>
      <c r="K34" s="2088"/>
    </row>
    <row r="35" spans="4:14">
      <c r="D35" s="104"/>
      <c r="E35" s="154"/>
      <c r="F35" s="154"/>
      <c r="G35" s="391" t="s">
        <v>175</v>
      </c>
      <c r="H35" s="392" t="s">
        <v>340</v>
      </c>
      <c r="I35" s="393"/>
      <c r="J35" s="394" t="s">
        <v>175</v>
      </c>
      <c r="K35" s="395" t="s">
        <v>176</v>
      </c>
      <c r="L35" s="154"/>
      <c r="M35" s="154"/>
    </row>
    <row r="36" spans="4:14">
      <c r="D36" s="380" t="s">
        <v>44</v>
      </c>
      <c r="E36" s="519">
        <v>2010</v>
      </c>
      <c r="F36" s="381" t="s">
        <v>204</v>
      </c>
      <c r="G36" s="637" t="s">
        <v>191</v>
      </c>
      <c r="H36" s="638" t="s">
        <v>192</v>
      </c>
      <c r="I36" s="396"/>
      <c r="J36" s="639" t="s">
        <v>191</v>
      </c>
      <c r="K36" s="640" t="s">
        <v>192</v>
      </c>
      <c r="L36" s="154"/>
      <c r="M36" s="382" t="s">
        <v>48</v>
      </c>
    </row>
    <row r="37" spans="4:14" ht="8" customHeight="1"/>
    <row r="38" spans="4:14">
      <c r="D38" s="388">
        <v>44650</v>
      </c>
      <c r="E38" s="46" t="s">
        <v>605</v>
      </c>
      <c r="F38" s="46" t="s">
        <v>325</v>
      </c>
      <c r="G38" s="318"/>
      <c r="H38" s="318"/>
      <c r="I38" s="46"/>
      <c r="J38" s="376"/>
      <c r="K38" s="376"/>
      <c r="M38" t="s">
        <v>326</v>
      </c>
    </row>
    <row r="39" spans="4:14">
      <c r="D39" s="388">
        <v>44693</v>
      </c>
      <c r="E39" s="46" t="s">
        <v>606</v>
      </c>
      <c r="F39" s="46" t="s">
        <v>316</v>
      </c>
      <c r="G39" s="318"/>
      <c r="H39" s="318"/>
      <c r="I39" s="46"/>
      <c r="J39" s="376"/>
      <c r="K39" s="376"/>
      <c r="M39" t="s">
        <v>288</v>
      </c>
    </row>
    <row r="40" spans="4:14">
      <c r="D40" s="388">
        <v>44701</v>
      </c>
      <c r="E40" s="208" t="s">
        <v>594</v>
      </c>
      <c r="F40" s="46" t="s">
        <v>339</v>
      </c>
      <c r="G40" s="318"/>
      <c r="H40" s="405">
        <v>1300</v>
      </c>
      <c r="I40" s="46"/>
      <c r="J40" s="427"/>
      <c r="K40" s="427"/>
      <c r="M40" t="s">
        <v>283</v>
      </c>
    </row>
    <row r="41" spans="4:14">
      <c r="D41" s="388">
        <v>44743</v>
      </c>
      <c r="E41" s="46" t="s">
        <v>281</v>
      </c>
      <c r="F41" s="46" t="s">
        <v>184</v>
      </c>
      <c r="G41" s="318"/>
      <c r="H41" s="318"/>
      <c r="I41" s="46"/>
      <c r="J41" s="376"/>
      <c r="K41" s="376"/>
      <c r="M41" t="s">
        <v>282</v>
      </c>
    </row>
    <row r="42" spans="4:14">
      <c r="D42" s="388">
        <v>44758</v>
      </c>
      <c r="E42" s="46" t="s">
        <v>607</v>
      </c>
      <c r="F42" s="46" t="s">
        <v>316</v>
      </c>
      <c r="G42" s="318"/>
      <c r="H42" s="318"/>
      <c r="I42" s="46"/>
      <c r="J42" s="376"/>
      <c r="K42" s="376">
        <v>15.7</v>
      </c>
      <c r="M42" t="s">
        <v>328</v>
      </c>
    </row>
    <row r="43" spans="4:14">
      <c r="D43" s="398">
        <v>44793</v>
      </c>
      <c r="E43" s="116" t="s">
        <v>595</v>
      </c>
      <c r="F43" s="116" t="s">
        <v>341</v>
      </c>
      <c r="G43" s="335"/>
      <c r="H43" s="335">
        <v>241</v>
      </c>
      <c r="I43" s="116"/>
      <c r="J43" s="377"/>
      <c r="K43" s="377"/>
      <c r="M43" t="s">
        <v>405</v>
      </c>
    </row>
    <row r="44" spans="4:14">
      <c r="D44" s="365">
        <v>44832</v>
      </c>
      <c r="E44" s="1196" t="s">
        <v>1388</v>
      </c>
      <c r="F44" s="24" t="s">
        <v>338</v>
      </c>
      <c r="G44" s="57"/>
      <c r="H44" s="57">
        <v>217</v>
      </c>
      <c r="I44" s="24"/>
      <c r="J44" s="383"/>
      <c r="K44" s="383"/>
      <c r="M44" s="334" t="s">
        <v>289</v>
      </c>
      <c r="N44" s="18"/>
    </row>
    <row r="45" spans="4:14">
      <c r="D45" s="373">
        <v>44832</v>
      </c>
      <c r="E45" s="25" t="s">
        <v>321</v>
      </c>
      <c r="F45" s="25" t="s">
        <v>184</v>
      </c>
      <c r="G45" s="61">
        <v>11</v>
      </c>
      <c r="H45" s="61"/>
      <c r="I45" s="25"/>
      <c r="J45" s="384"/>
      <c r="K45" s="384"/>
      <c r="M45" s="79" t="s">
        <v>322</v>
      </c>
      <c r="N45" s="23"/>
    </row>
    <row r="46" spans="4:14">
      <c r="D46" s="404">
        <v>44905</v>
      </c>
      <c r="E46" s="69" t="s">
        <v>421</v>
      </c>
      <c r="F46" s="69" t="s">
        <v>300</v>
      </c>
      <c r="G46" s="333"/>
      <c r="H46" s="333"/>
      <c r="I46" s="69"/>
      <c r="J46" s="375">
        <v>163.9</v>
      </c>
      <c r="K46" s="375"/>
      <c r="M46" t="s">
        <v>324</v>
      </c>
    </row>
    <row r="47" spans="4:14">
      <c r="D47" s="365"/>
      <c r="E47" s="407" t="s">
        <v>596</v>
      </c>
      <c r="F47" s="24" t="s">
        <v>342</v>
      </c>
      <c r="G47" s="57"/>
      <c r="H47" s="57"/>
      <c r="I47" s="24"/>
      <c r="J47" s="383"/>
      <c r="K47" s="383">
        <v>100</v>
      </c>
      <c r="M47" s="334" t="s">
        <v>401</v>
      </c>
      <c r="N47" s="18"/>
    </row>
    <row r="48" spans="4:14">
      <c r="D48" s="379"/>
      <c r="E48" t="s">
        <v>403</v>
      </c>
      <c r="J48" s="385"/>
      <c r="K48" s="385">
        <v>32.5</v>
      </c>
      <c r="M48" s="73" t="s">
        <v>400</v>
      </c>
      <c r="N48" s="60"/>
    </row>
    <row r="49" spans="4:14">
      <c r="D49" s="373"/>
      <c r="E49" s="25" t="s">
        <v>404</v>
      </c>
      <c r="F49" s="25"/>
      <c r="G49" s="61"/>
      <c r="H49" s="61"/>
      <c r="I49" s="25"/>
      <c r="J49" s="384"/>
      <c r="K49" s="384">
        <f>0.4*10.7</f>
        <v>4.28</v>
      </c>
      <c r="M49" s="79" t="s">
        <v>402</v>
      </c>
      <c r="N49" s="23"/>
    </row>
    <row r="50" spans="4:14">
      <c r="D50" s="379"/>
      <c r="E50" t="s">
        <v>608</v>
      </c>
      <c r="J50" s="385">
        <v>99</v>
      </c>
      <c r="K50" s="385"/>
      <c r="M50" s="73" t="s">
        <v>408</v>
      </c>
      <c r="N50" s="60"/>
    </row>
    <row r="51" spans="4:14">
      <c r="D51" s="379"/>
      <c r="E51" t="s">
        <v>86</v>
      </c>
      <c r="J51" s="385">
        <v>51</v>
      </c>
      <c r="K51" s="385"/>
      <c r="M51" s="73" t="s">
        <v>409</v>
      </c>
      <c r="N51" s="60"/>
    </row>
    <row r="52" spans="4:14">
      <c r="D52" s="373"/>
      <c r="E52" s="25" t="s">
        <v>407</v>
      </c>
      <c r="F52" s="25"/>
      <c r="G52" s="61"/>
      <c r="H52" s="61"/>
      <c r="I52" s="25"/>
      <c r="J52" s="384">
        <v>26</v>
      </c>
      <c r="K52" s="384"/>
      <c r="M52" s="79" t="s">
        <v>410</v>
      </c>
      <c r="N52" s="23"/>
    </row>
    <row r="53" spans="4:14" ht="7" customHeight="1">
      <c r="D53" s="373"/>
      <c r="E53" s="25"/>
      <c r="F53" s="25"/>
      <c r="G53" s="61"/>
      <c r="H53" s="61"/>
      <c r="I53" s="25"/>
      <c r="J53" s="384"/>
      <c r="K53" s="384"/>
      <c r="M53" s="79"/>
      <c r="N53" s="23"/>
    </row>
    <row r="54" spans="4:14">
      <c r="D54" s="408"/>
      <c r="E54" s="409" t="s">
        <v>426</v>
      </c>
      <c r="F54" s="409"/>
      <c r="G54" s="410"/>
      <c r="H54" s="410"/>
      <c r="I54" s="409"/>
      <c r="J54" s="411"/>
      <c r="K54" s="411">
        <v>936.6</v>
      </c>
      <c r="M54" s="50" t="s">
        <v>428</v>
      </c>
      <c r="N54" s="28"/>
    </row>
    <row r="55" spans="4:14">
      <c r="D55" s="50"/>
      <c r="E55" s="63" t="s">
        <v>406</v>
      </c>
      <c r="F55" s="63"/>
      <c r="G55" s="64"/>
      <c r="H55" s="64"/>
      <c r="I55" s="63"/>
      <c r="J55" s="367">
        <v>28.1</v>
      </c>
      <c r="K55" s="367"/>
      <c r="M55" s="50" t="s">
        <v>427</v>
      </c>
      <c r="N55" s="28"/>
    </row>
    <row r="56" spans="4:14" ht="7" customHeight="1">
      <c r="D56" s="339"/>
    </row>
    <row r="57" spans="4:14">
      <c r="D57" s="339"/>
      <c r="F57" s="39" t="s">
        <v>687</v>
      </c>
      <c r="G57" s="390">
        <f>SUM(G38:G56)</f>
        <v>11</v>
      </c>
      <c r="H57" s="390">
        <f>SUM(H38:H56)</f>
        <v>1758</v>
      </c>
      <c r="I57" s="389"/>
      <c r="J57" s="390">
        <f>SUM(J38:J56)</f>
        <v>368</v>
      </c>
      <c r="K57" s="390">
        <f>SUM(K38:K56)</f>
        <v>1089.08</v>
      </c>
    </row>
    <row r="58" spans="4:14" ht="15" customHeight="1"/>
    <row r="59" spans="4:14" ht="15" customHeight="1">
      <c r="G59" s="2085" t="s">
        <v>330</v>
      </c>
      <c r="H59" s="2086"/>
      <c r="J59" s="2087" t="s">
        <v>331</v>
      </c>
      <c r="K59" s="2088"/>
    </row>
    <row r="60" spans="4:14">
      <c r="D60" s="104"/>
      <c r="E60" s="154"/>
      <c r="F60" s="154"/>
      <c r="G60" s="391" t="s">
        <v>175</v>
      </c>
      <c r="H60" s="392" t="s">
        <v>340</v>
      </c>
      <c r="I60" s="393"/>
      <c r="J60" s="394" t="s">
        <v>175</v>
      </c>
      <c r="K60" s="395" t="s">
        <v>176</v>
      </c>
      <c r="L60" s="154"/>
      <c r="M60" s="154"/>
    </row>
    <row r="61" spans="4:14">
      <c r="D61" s="380" t="s">
        <v>44</v>
      </c>
      <c r="E61" s="519">
        <v>2011</v>
      </c>
      <c r="F61" s="381" t="s">
        <v>204</v>
      </c>
      <c r="G61" s="637" t="s">
        <v>191</v>
      </c>
      <c r="H61" s="638" t="s">
        <v>192</v>
      </c>
      <c r="I61" s="396"/>
      <c r="J61" s="639" t="s">
        <v>191</v>
      </c>
      <c r="K61" s="640" t="s">
        <v>192</v>
      </c>
      <c r="L61" s="154"/>
      <c r="M61" s="382" t="s">
        <v>48</v>
      </c>
    </row>
    <row r="62" spans="4:14" ht="8" customHeight="1"/>
    <row r="63" spans="4:14">
      <c r="D63" s="388">
        <v>44565</v>
      </c>
      <c r="E63" s="46" t="s">
        <v>284</v>
      </c>
      <c r="F63" s="46" t="s">
        <v>339</v>
      </c>
      <c r="G63" s="318"/>
      <c r="H63" s="318"/>
      <c r="I63" s="46"/>
      <c r="J63" s="376"/>
      <c r="K63" s="376"/>
      <c r="M63" t="s">
        <v>285</v>
      </c>
    </row>
    <row r="64" spans="4:14">
      <c r="D64" s="388">
        <v>44601</v>
      </c>
      <c r="E64" s="46" t="s">
        <v>597</v>
      </c>
      <c r="F64" s="46" t="s">
        <v>339</v>
      </c>
      <c r="G64" s="318"/>
      <c r="H64" s="318">
        <v>294</v>
      </c>
      <c r="I64" s="46"/>
      <c r="J64" s="376"/>
      <c r="K64" s="376"/>
      <c r="M64" t="s">
        <v>266</v>
      </c>
    </row>
    <row r="65" spans="4:14">
      <c r="D65" s="388">
        <v>44644</v>
      </c>
      <c r="E65" s="46" t="s">
        <v>323</v>
      </c>
      <c r="F65" s="46" t="s">
        <v>339</v>
      </c>
      <c r="G65" s="318"/>
      <c r="H65" s="318">
        <v>72</v>
      </c>
      <c r="I65" s="46"/>
      <c r="J65" s="376"/>
      <c r="K65" s="376"/>
      <c r="M65" t="s">
        <v>266</v>
      </c>
    </row>
    <row r="66" spans="4:14">
      <c r="D66" s="388">
        <v>44741</v>
      </c>
      <c r="E66" s="46" t="s">
        <v>609</v>
      </c>
      <c r="F66" s="46" t="s">
        <v>316</v>
      </c>
      <c r="G66" s="318"/>
      <c r="H66" s="318"/>
      <c r="I66" s="46"/>
      <c r="J66" s="376"/>
      <c r="K66" s="376">
        <v>88.2</v>
      </c>
      <c r="M66" t="s">
        <v>327</v>
      </c>
    </row>
    <row r="67" spans="4:14">
      <c r="D67" s="388">
        <v>44742</v>
      </c>
      <c r="E67" s="1193" t="s">
        <v>1391</v>
      </c>
      <c r="F67" s="46" t="s">
        <v>342</v>
      </c>
      <c r="G67" s="318"/>
      <c r="H67" s="318"/>
      <c r="I67" s="46"/>
      <c r="J67" s="376"/>
      <c r="K67" s="376"/>
      <c r="M67" t="s">
        <v>651</v>
      </c>
    </row>
    <row r="68" spans="4:14">
      <c r="D68" s="388">
        <v>44768</v>
      </c>
      <c r="E68" s="1197" t="s">
        <v>451</v>
      </c>
      <c r="F68" s="46" t="s">
        <v>342</v>
      </c>
      <c r="G68" s="318"/>
      <c r="H68" s="318"/>
      <c r="I68" s="46"/>
      <c r="J68" s="376"/>
      <c r="K68" s="406">
        <v>387</v>
      </c>
      <c r="M68" t="s">
        <v>477</v>
      </c>
    </row>
    <row r="69" spans="4:14">
      <c r="D69" s="388">
        <v>44789</v>
      </c>
      <c r="E69" s="46" t="s">
        <v>610</v>
      </c>
      <c r="F69" s="46" t="s">
        <v>342</v>
      </c>
      <c r="G69" s="318"/>
      <c r="H69" s="318"/>
      <c r="I69" s="46"/>
      <c r="J69" s="376"/>
      <c r="K69" s="376"/>
    </row>
    <row r="70" spans="4:14">
      <c r="D70" s="388">
        <v>44834</v>
      </c>
      <c r="E70" s="46" t="s">
        <v>598</v>
      </c>
      <c r="F70" s="46"/>
      <c r="G70" s="318"/>
      <c r="H70" s="318"/>
      <c r="I70" s="46"/>
      <c r="J70" s="376"/>
      <c r="K70" s="376"/>
      <c r="M70" t="s">
        <v>290</v>
      </c>
    </row>
    <row r="71" spans="4:14">
      <c r="D71" s="388">
        <v>44886</v>
      </c>
      <c r="E71" s="46" t="s">
        <v>599</v>
      </c>
      <c r="F71" s="46" t="s">
        <v>316</v>
      </c>
      <c r="G71" s="318"/>
      <c r="H71" s="318"/>
      <c r="I71" s="46"/>
      <c r="J71" s="376"/>
      <c r="K71" s="376"/>
      <c r="M71" t="s">
        <v>287</v>
      </c>
    </row>
    <row r="72" spans="4:14">
      <c r="D72" s="388">
        <v>44917</v>
      </c>
      <c r="E72" s="46" t="s">
        <v>600</v>
      </c>
      <c r="F72" s="46" t="s">
        <v>342</v>
      </c>
      <c r="G72" s="318"/>
      <c r="H72" s="318"/>
      <c r="I72" s="46"/>
      <c r="J72" s="376"/>
      <c r="K72" s="376">
        <v>30.8</v>
      </c>
      <c r="M72" t="s">
        <v>280</v>
      </c>
    </row>
    <row r="73" spans="4:14">
      <c r="D73" s="388">
        <v>44924</v>
      </c>
      <c r="E73" s="46" t="s">
        <v>601</v>
      </c>
      <c r="F73" s="46" t="s">
        <v>325</v>
      </c>
      <c r="G73" s="318"/>
      <c r="H73" s="318"/>
      <c r="I73" s="46"/>
      <c r="J73" s="376"/>
      <c r="K73" s="376">
        <v>9.8000000000000007</v>
      </c>
      <c r="M73" t="s">
        <v>775</v>
      </c>
    </row>
    <row r="74" spans="4:14">
      <c r="D74" s="388">
        <v>44925</v>
      </c>
      <c r="E74" s="46" t="s">
        <v>332</v>
      </c>
      <c r="F74" s="46" t="s">
        <v>329</v>
      </c>
      <c r="G74" s="318"/>
      <c r="H74" s="318"/>
      <c r="I74" s="46"/>
      <c r="J74" s="376"/>
      <c r="K74" s="376">
        <v>10</v>
      </c>
      <c r="M74" t="s">
        <v>333</v>
      </c>
    </row>
    <row r="75" spans="4:14">
      <c r="D75" s="388">
        <v>44926</v>
      </c>
      <c r="E75" s="607" t="s">
        <v>602</v>
      </c>
      <c r="F75" s="46" t="s">
        <v>316</v>
      </c>
      <c r="G75" s="318"/>
      <c r="H75" s="318">
        <v>107.9</v>
      </c>
      <c r="I75" s="46"/>
      <c r="J75" s="376"/>
      <c r="K75" s="376"/>
      <c r="M75" t="s">
        <v>335</v>
      </c>
    </row>
    <row r="76" spans="4:14">
      <c r="D76" s="388"/>
      <c r="E76" s="208" t="s">
        <v>603</v>
      </c>
      <c r="F76" s="46" t="s">
        <v>342</v>
      </c>
      <c r="G76" s="318"/>
      <c r="H76" s="318"/>
      <c r="I76" s="46"/>
      <c r="J76" s="376"/>
      <c r="K76" s="376"/>
      <c r="M76" t="s">
        <v>381</v>
      </c>
    </row>
    <row r="77" spans="4:14">
      <c r="D77" s="388"/>
      <c r="E77" s="208" t="s">
        <v>422</v>
      </c>
      <c r="F77" s="46" t="s">
        <v>302</v>
      </c>
      <c r="G77" s="318"/>
      <c r="H77" s="318"/>
      <c r="I77" s="46"/>
      <c r="J77" s="406">
        <v>329.6</v>
      </c>
      <c r="K77" s="376"/>
      <c r="M77" t="s">
        <v>423</v>
      </c>
    </row>
    <row r="78" spans="4:14">
      <c r="D78" s="388"/>
      <c r="E78" s="438" t="s">
        <v>416</v>
      </c>
      <c r="F78" s="46" t="s">
        <v>302</v>
      </c>
      <c r="G78" s="318"/>
      <c r="H78" s="318"/>
      <c r="I78" s="46"/>
      <c r="J78" s="439">
        <v>385</v>
      </c>
      <c r="K78" s="376"/>
      <c r="M78" t="s">
        <v>560</v>
      </c>
    </row>
    <row r="79" spans="4:14" ht="7" customHeight="1">
      <c r="D79" s="339"/>
      <c r="J79" s="385"/>
      <c r="K79" s="385"/>
    </row>
    <row r="80" spans="4:14">
      <c r="D80" s="408"/>
      <c r="E80" s="409" t="s">
        <v>426</v>
      </c>
      <c r="F80" s="409"/>
      <c r="G80" s="410"/>
      <c r="H80" s="410"/>
      <c r="I80" s="409"/>
      <c r="J80" s="411">
        <v>413.9</v>
      </c>
      <c r="K80" s="411"/>
      <c r="M80" s="50" t="s">
        <v>429</v>
      </c>
      <c r="N80" s="28"/>
    </row>
    <row r="81" spans="4:14">
      <c r="D81" s="50"/>
      <c r="E81" s="63" t="s">
        <v>406</v>
      </c>
      <c r="F81" s="63"/>
      <c r="G81" s="64"/>
      <c r="H81" s="64"/>
      <c r="I81" s="63"/>
      <c r="J81" s="367"/>
      <c r="K81" s="367">
        <v>233.9</v>
      </c>
      <c r="M81" s="50" t="s">
        <v>430</v>
      </c>
      <c r="N81" s="28"/>
    </row>
    <row r="82" spans="4:14" ht="7" customHeight="1">
      <c r="D82" s="339"/>
    </row>
    <row r="83" spans="4:14" ht="15" customHeight="1">
      <c r="F83" s="39" t="s">
        <v>688</v>
      </c>
      <c r="G83" s="390">
        <f>SUM(G63:G82)</f>
        <v>0</v>
      </c>
      <c r="H83" s="390">
        <f>SUM(H63:H82)</f>
        <v>473.9</v>
      </c>
      <c r="I83" s="389"/>
      <c r="J83" s="390">
        <f>SUM(J63:J82)</f>
        <v>1128.5</v>
      </c>
      <c r="K83" s="390">
        <f>SUM(K63:K82)</f>
        <v>759.69999999999993</v>
      </c>
    </row>
    <row r="84" spans="4:14" ht="15" customHeight="1"/>
    <row r="85" spans="4:14" ht="15" customHeight="1">
      <c r="G85" s="2081" t="s">
        <v>330</v>
      </c>
      <c r="H85" s="2082"/>
      <c r="I85" s="154"/>
      <c r="J85" s="2083" t="s">
        <v>331</v>
      </c>
      <c r="K85" s="2084"/>
    </row>
    <row r="86" spans="4:14">
      <c r="D86" s="104"/>
      <c r="E86" s="154"/>
      <c r="F86" s="154"/>
      <c r="G86" s="391" t="s">
        <v>175</v>
      </c>
      <c r="H86" s="392" t="s">
        <v>340</v>
      </c>
      <c r="I86" s="393"/>
      <c r="J86" s="394" t="s">
        <v>175</v>
      </c>
      <c r="K86" s="395" t="s">
        <v>176</v>
      </c>
      <c r="L86" s="154"/>
      <c r="M86" s="154"/>
    </row>
    <row r="87" spans="4:14">
      <c r="D87" s="380" t="s">
        <v>44</v>
      </c>
      <c r="E87" s="519">
        <v>2012</v>
      </c>
      <c r="F87" s="381" t="s">
        <v>204</v>
      </c>
      <c r="G87" s="637" t="s">
        <v>191</v>
      </c>
      <c r="H87" s="638" t="s">
        <v>192</v>
      </c>
      <c r="I87" s="396"/>
      <c r="J87" s="639" t="s">
        <v>191</v>
      </c>
      <c r="K87" s="640" t="s">
        <v>192</v>
      </c>
      <c r="L87" s="154"/>
      <c r="M87" s="382" t="s">
        <v>48</v>
      </c>
    </row>
    <row r="88" spans="4:14" ht="8" customHeight="1"/>
    <row r="89" spans="4:14">
      <c r="D89" s="388">
        <v>44571</v>
      </c>
      <c r="E89" s="46" t="s">
        <v>604</v>
      </c>
      <c r="F89" s="46" t="s">
        <v>342</v>
      </c>
      <c r="G89" s="318"/>
      <c r="H89" s="318"/>
      <c r="I89" s="46"/>
      <c r="J89" s="376"/>
      <c r="K89" s="376">
        <v>68.5</v>
      </c>
      <c r="M89" t="s">
        <v>334</v>
      </c>
    </row>
    <row r="90" spans="4:14">
      <c r="D90" s="388">
        <v>44588</v>
      </c>
      <c r="E90" s="1193" t="s">
        <v>652</v>
      </c>
      <c r="F90" s="46" t="s">
        <v>316</v>
      </c>
      <c r="G90" s="318"/>
      <c r="H90" s="318"/>
      <c r="I90" s="46"/>
      <c r="J90" s="376"/>
      <c r="K90" s="376"/>
      <c r="M90" t="s">
        <v>424</v>
      </c>
    </row>
    <row r="91" spans="4:14">
      <c r="D91" s="388">
        <v>44639</v>
      </c>
      <c r="E91" s="46" t="s">
        <v>611</v>
      </c>
      <c r="F91" s="46" t="s">
        <v>316</v>
      </c>
      <c r="G91" s="318"/>
      <c r="H91" s="318">
        <v>77</v>
      </c>
      <c r="I91" s="46"/>
      <c r="J91" s="376"/>
      <c r="K91" s="376"/>
      <c r="M91" t="s">
        <v>425</v>
      </c>
    </row>
    <row r="92" spans="4:14">
      <c r="D92" s="45">
        <v>2012</v>
      </c>
      <c r="E92" s="208" t="s">
        <v>612</v>
      </c>
      <c r="F92" s="46" t="s">
        <v>342</v>
      </c>
      <c r="G92" s="318"/>
      <c r="H92" s="318"/>
      <c r="I92" s="46"/>
      <c r="J92" s="376"/>
      <c r="K92" s="376">
        <v>172.7</v>
      </c>
      <c r="M92" t="s">
        <v>432</v>
      </c>
    </row>
    <row r="93" spans="4:14">
      <c r="D93" s="45" t="s">
        <v>367</v>
      </c>
      <c r="E93" s="46" t="s">
        <v>541</v>
      </c>
      <c r="F93" s="46" t="s">
        <v>316</v>
      </c>
      <c r="G93" s="318"/>
      <c r="H93" s="318"/>
      <c r="I93" s="46"/>
      <c r="J93" s="376"/>
      <c r="K93" s="376">
        <v>50</v>
      </c>
      <c r="M93" t="s">
        <v>368</v>
      </c>
    </row>
    <row r="94" spans="4:14">
      <c r="D94" s="45" t="s">
        <v>160</v>
      </c>
      <c r="E94" s="46" t="s">
        <v>613</v>
      </c>
      <c r="F94" s="46" t="s">
        <v>302</v>
      </c>
      <c r="G94" s="318"/>
      <c r="H94" s="318"/>
      <c r="I94" s="46"/>
      <c r="J94" s="376">
        <v>135.69999999999999</v>
      </c>
      <c r="K94" s="376"/>
      <c r="M94" t="s">
        <v>526</v>
      </c>
    </row>
    <row r="95" spans="4:14">
      <c r="D95" s="388">
        <v>44846</v>
      </c>
      <c r="E95" s="46" t="s">
        <v>614</v>
      </c>
      <c r="F95" s="46" t="s">
        <v>341</v>
      </c>
      <c r="G95" s="318"/>
      <c r="H95" s="318">
        <v>335</v>
      </c>
      <c r="I95" s="46"/>
      <c r="J95" s="376"/>
      <c r="K95" s="376"/>
      <c r="M95" t="s">
        <v>274</v>
      </c>
    </row>
    <row r="96" spans="4:14">
      <c r="D96" s="398">
        <v>44866</v>
      </c>
      <c r="E96" s="116" t="s">
        <v>291</v>
      </c>
      <c r="F96" s="116" t="s">
        <v>316</v>
      </c>
      <c r="G96" s="335"/>
      <c r="H96" s="335"/>
      <c r="I96" s="116"/>
      <c r="J96" s="377"/>
      <c r="K96" s="377">
        <f>1.7*0.85</f>
        <v>1.4449999999999998</v>
      </c>
      <c r="M96" t="s">
        <v>292</v>
      </c>
    </row>
    <row r="97" spans="4:14">
      <c r="D97" s="365">
        <v>44876</v>
      </c>
      <c r="E97" s="24" t="s">
        <v>434</v>
      </c>
      <c r="F97" s="24" t="s">
        <v>237</v>
      </c>
      <c r="G97" s="57"/>
      <c r="H97" s="57"/>
      <c r="I97" s="24"/>
      <c r="J97" s="383">
        <v>221</v>
      </c>
      <c r="K97" s="383"/>
      <c r="M97" t="s">
        <v>443</v>
      </c>
    </row>
    <row r="98" spans="4:14">
      <c r="D98" s="373"/>
      <c r="E98" s="25" t="s">
        <v>615</v>
      </c>
      <c r="F98" s="25"/>
      <c r="G98" s="61"/>
      <c r="H98" s="61"/>
      <c r="I98" s="25"/>
      <c r="J98" s="384"/>
      <c r="K98" s="384"/>
      <c r="M98" t="s">
        <v>479</v>
      </c>
    </row>
    <row r="99" spans="4:14">
      <c r="D99" s="399">
        <v>44905</v>
      </c>
      <c r="E99" s="56" t="s">
        <v>275</v>
      </c>
      <c r="F99" s="56" t="s">
        <v>276</v>
      </c>
      <c r="G99" s="401"/>
      <c r="H99" s="401"/>
      <c r="I99" s="56"/>
      <c r="J99" s="378">
        <v>270.60000000000002</v>
      </c>
      <c r="K99" s="378"/>
      <c r="M99" t="s">
        <v>277</v>
      </c>
    </row>
    <row r="100" spans="4:14">
      <c r="D100" s="388"/>
      <c r="E100" s="46" t="s">
        <v>616</v>
      </c>
      <c r="F100" s="46" t="s">
        <v>185</v>
      </c>
      <c r="G100" s="318"/>
      <c r="H100" s="318"/>
      <c r="I100" s="46"/>
      <c r="J100" s="376"/>
      <c r="K100" s="376">
        <v>105</v>
      </c>
      <c r="M100" t="s">
        <v>433</v>
      </c>
    </row>
    <row r="101" spans="4:14">
      <c r="D101" s="388"/>
      <c r="E101" s="46" t="s">
        <v>617</v>
      </c>
      <c r="F101" s="46"/>
      <c r="G101" s="318"/>
      <c r="H101" s="318"/>
      <c r="I101" s="46"/>
      <c r="J101" s="376"/>
      <c r="K101" s="376"/>
      <c r="M101" t="s">
        <v>431</v>
      </c>
    </row>
    <row r="102" spans="4:14" ht="7" customHeight="1"/>
    <row r="103" spans="4:14">
      <c r="D103" s="408"/>
      <c r="E103" s="409" t="s">
        <v>426</v>
      </c>
      <c r="F103" s="413"/>
      <c r="G103" s="414"/>
      <c r="H103" s="414"/>
      <c r="I103" s="413"/>
      <c r="J103" s="415"/>
      <c r="K103" s="415">
        <v>1005.5</v>
      </c>
      <c r="L103" s="154"/>
      <c r="M103" s="416" t="s">
        <v>430</v>
      </c>
      <c r="N103" s="417"/>
    </row>
    <row r="104" spans="4:14">
      <c r="D104" s="50"/>
      <c r="E104" s="63" t="s">
        <v>406</v>
      </c>
      <c r="F104" s="419"/>
      <c r="G104" s="420"/>
      <c r="H104" s="420"/>
      <c r="I104" s="419"/>
      <c r="J104" s="421"/>
      <c r="K104" s="421">
        <v>129.19999999999999</v>
      </c>
      <c r="L104" s="154"/>
      <c r="M104" s="416" t="s">
        <v>430</v>
      </c>
      <c r="N104" s="417"/>
    </row>
    <row r="105" spans="4:14" ht="7" customHeight="1"/>
    <row r="106" spans="4:14">
      <c r="F106" s="39" t="s">
        <v>689</v>
      </c>
      <c r="G106" s="390">
        <f>SUM(G89:G105)</f>
        <v>0</v>
      </c>
      <c r="H106" s="390">
        <f>SUM(H89:H105)</f>
        <v>412</v>
      </c>
      <c r="I106" s="389"/>
      <c r="J106" s="390">
        <f>SUM(J89:J105)</f>
        <v>627.29999999999995</v>
      </c>
      <c r="K106" s="390">
        <f>SUM(K89:K105)</f>
        <v>1532.345</v>
      </c>
    </row>
    <row r="107" spans="4:14" ht="15" customHeight="1"/>
    <row r="108" spans="4:14" ht="15" customHeight="1">
      <c r="G108" s="2081" t="s">
        <v>330</v>
      </c>
      <c r="H108" s="2082"/>
      <c r="I108" s="154"/>
      <c r="J108" s="2083" t="s">
        <v>331</v>
      </c>
      <c r="K108" s="2084"/>
    </row>
    <row r="109" spans="4:14">
      <c r="D109" s="104"/>
      <c r="E109" s="154"/>
      <c r="F109" s="154"/>
      <c r="G109" s="391" t="s">
        <v>175</v>
      </c>
      <c r="H109" s="392" t="s">
        <v>340</v>
      </c>
      <c r="I109" s="393"/>
      <c r="J109" s="394" t="s">
        <v>175</v>
      </c>
      <c r="K109" s="395" t="s">
        <v>176</v>
      </c>
      <c r="L109" s="154"/>
      <c r="M109" s="154" t="s">
        <v>752</v>
      </c>
    </row>
    <row r="110" spans="4:14">
      <c r="D110" s="380" t="s">
        <v>44</v>
      </c>
      <c r="E110" s="519">
        <v>2013</v>
      </c>
      <c r="F110" s="381" t="s">
        <v>204</v>
      </c>
      <c r="G110" s="637" t="s">
        <v>191</v>
      </c>
      <c r="H110" s="638" t="s">
        <v>192</v>
      </c>
      <c r="I110" s="396"/>
      <c r="J110" s="639" t="s">
        <v>191</v>
      </c>
      <c r="K110" s="640" t="s">
        <v>192</v>
      </c>
      <c r="L110" s="154"/>
      <c r="M110" s="382" t="s">
        <v>48</v>
      </c>
    </row>
    <row r="111" spans="4:14" ht="8" customHeight="1"/>
    <row r="112" spans="4:14" ht="15" customHeight="1">
      <c r="D112" s="388">
        <v>44653</v>
      </c>
      <c r="E112" s="46" t="s">
        <v>291</v>
      </c>
      <c r="F112" s="397" t="s">
        <v>302</v>
      </c>
      <c r="G112" s="318"/>
      <c r="H112" s="318"/>
      <c r="I112" s="46"/>
      <c r="J112" s="376">
        <v>26.1</v>
      </c>
      <c r="K112" s="376"/>
      <c r="M112" t="s">
        <v>293</v>
      </c>
    </row>
    <row r="113" spans="4:14">
      <c r="D113" s="388">
        <v>44695</v>
      </c>
      <c r="E113" s="458" t="s">
        <v>669</v>
      </c>
      <c r="F113" s="46" t="s">
        <v>466</v>
      </c>
      <c r="G113" s="318"/>
      <c r="H113" s="318"/>
      <c r="I113" s="46"/>
      <c r="J113" s="376"/>
      <c r="K113" s="376"/>
      <c r="M113" t="s">
        <v>278</v>
      </c>
    </row>
    <row r="114" spans="4:14">
      <c r="D114" s="388">
        <v>44745</v>
      </c>
      <c r="E114" s="46" t="s">
        <v>618</v>
      </c>
      <c r="F114" s="46" t="s">
        <v>339</v>
      </c>
      <c r="G114" s="318"/>
      <c r="H114" s="318">
        <v>34</v>
      </c>
      <c r="I114" s="46"/>
      <c r="J114" s="376"/>
      <c r="K114" s="376"/>
      <c r="M114" t="s">
        <v>267</v>
      </c>
    </row>
    <row r="115" spans="4:14">
      <c r="D115" s="365">
        <v>44837</v>
      </c>
      <c r="E115" s="24" t="s">
        <v>619</v>
      </c>
      <c r="F115" s="24" t="s">
        <v>339</v>
      </c>
      <c r="G115" s="57"/>
      <c r="H115" s="57">
        <v>317</v>
      </c>
      <c r="I115" s="24"/>
      <c r="J115" s="383"/>
      <c r="K115" s="383"/>
      <c r="M115" s="334" t="s">
        <v>272</v>
      </c>
      <c r="N115" s="18"/>
    </row>
    <row r="116" spans="4:14">
      <c r="D116" s="373">
        <v>44842</v>
      </c>
      <c r="E116" s="25" t="s">
        <v>268</v>
      </c>
      <c r="F116" s="25" t="s">
        <v>184</v>
      </c>
      <c r="G116" s="61">
        <v>53</v>
      </c>
      <c r="H116" s="61"/>
      <c r="I116" s="25"/>
      <c r="J116" s="384"/>
      <c r="K116" s="384"/>
      <c r="M116" s="79" t="s">
        <v>269</v>
      </c>
      <c r="N116" s="23"/>
    </row>
    <row r="117" spans="4:14">
      <c r="D117" s="365">
        <v>44865</v>
      </c>
      <c r="E117" s="24" t="s">
        <v>270</v>
      </c>
      <c r="F117" s="24" t="s">
        <v>237</v>
      </c>
      <c r="G117" s="57"/>
      <c r="H117" s="57"/>
      <c r="I117" s="24"/>
      <c r="J117" s="383"/>
      <c r="K117" s="383"/>
      <c r="M117" s="334" t="s">
        <v>271</v>
      </c>
      <c r="N117" s="18"/>
    </row>
    <row r="118" spans="4:14">
      <c r="D118" s="19"/>
      <c r="E118" s="25" t="s">
        <v>620</v>
      </c>
      <c r="F118" s="25" t="s">
        <v>342</v>
      </c>
      <c r="G118" s="61"/>
      <c r="H118" s="61"/>
      <c r="I118" s="25"/>
      <c r="J118" s="384"/>
      <c r="K118" s="384">
        <v>95.6</v>
      </c>
      <c r="M118" s="79" t="s">
        <v>490</v>
      </c>
      <c r="N118" s="23"/>
    </row>
    <row r="119" spans="4:14">
      <c r="D119" s="373">
        <v>44827</v>
      </c>
      <c r="E119" s="1194" t="s">
        <v>0</v>
      </c>
      <c r="F119" s="25" t="s">
        <v>185</v>
      </c>
      <c r="G119" s="61"/>
      <c r="H119" s="61"/>
      <c r="I119" s="25"/>
      <c r="J119" s="384"/>
      <c r="K119" s="384"/>
      <c r="M119" t="s">
        <v>650</v>
      </c>
    </row>
    <row r="120" spans="4:14">
      <c r="D120" s="388">
        <v>41565</v>
      </c>
      <c r="E120" s="46" t="s">
        <v>622</v>
      </c>
      <c r="F120" s="46" t="s">
        <v>342</v>
      </c>
      <c r="G120" s="318"/>
      <c r="H120" s="318"/>
      <c r="I120" s="46"/>
      <c r="J120" s="376"/>
      <c r="K120" s="376">
        <v>41</v>
      </c>
      <c r="M120" t="s">
        <v>1081</v>
      </c>
    </row>
    <row r="121" spans="4:14">
      <c r="D121" s="388">
        <v>44878</v>
      </c>
      <c r="E121" s="1193" t="s">
        <v>653</v>
      </c>
      <c r="F121" s="46" t="s">
        <v>343</v>
      </c>
      <c r="G121" s="318"/>
      <c r="H121" s="318"/>
      <c r="I121" s="46"/>
      <c r="J121" s="376"/>
      <c r="K121" s="406">
        <v>500</v>
      </c>
      <c r="M121" t="s">
        <v>438</v>
      </c>
    </row>
    <row r="122" spans="4:14">
      <c r="D122" s="388">
        <v>44915</v>
      </c>
      <c r="E122" s="46" t="s">
        <v>621</v>
      </c>
      <c r="F122" s="46" t="s">
        <v>316</v>
      </c>
      <c r="G122" s="318"/>
      <c r="H122" s="318"/>
      <c r="I122" s="46"/>
      <c r="J122" s="376"/>
      <c r="K122" s="376">
        <f>2*6.35*0.971</f>
        <v>12.3317</v>
      </c>
      <c r="M122" t="s">
        <v>659</v>
      </c>
    </row>
    <row r="123" spans="4:14">
      <c r="D123" s="388"/>
      <c r="E123" s="46" t="s">
        <v>445</v>
      </c>
      <c r="F123" s="46" t="s">
        <v>316</v>
      </c>
      <c r="G123" s="318"/>
      <c r="H123" s="318"/>
      <c r="I123" s="46"/>
      <c r="J123" s="376"/>
      <c r="K123" s="376">
        <f>20*1.35</f>
        <v>27</v>
      </c>
      <c r="M123" t="s">
        <v>444</v>
      </c>
    </row>
    <row r="125" spans="4:14">
      <c r="D125" s="365"/>
      <c r="E125" s="440" t="s">
        <v>435</v>
      </c>
      <c r="F125" s="24" t="s">
        <v>302</v>
      </c>
      <c r="G125" s="424" t="s">
        <v>564</v>
      </c>
      <c r="H125" s="424"/>
      <c r="I125" s="24"/>
      <c r="J125" s="443">
        <v>795</v>
      </c>
      <c r="K125" s="383"/>
      <c r="M125" s="334" t="s">
        <v>561</v>
      </c>
      <c r="N125" s="18"/>
    </row>
    <row r="126" spans="4:14">
      <c r="D126" s="379"/>
      <c r="E126" s="441" t="s">
        <v>436</v>
      </c>
      <c r="F126" t="s">
        <v>302</v>
      </c>
      <c r="G126" s="425" t="s">
        <v>565</v>
      </c>
      <c r="H126" s="425"/>
      <c r="J126" s="444">
        <v>725</v>
      </c>
      <c r="K126" s="385"/>
      <c r="M126" s="73" t="s">
        <v>562</v>
      </c>
      <c r="N126" s="60"/>
    </row>
    <row r="127" spans="4:14">
      <c r="D127" s="379"/>
      <c r="E127" s="441" t="s">
        <v>437</v>
      </c>
      <c r="F127" t="s">
        <v>302</v>
      </c>
      <c r="G127" s="425" t="s">
        <v>567</v>
      </c>
      <c r="H127" s="425"/>
      <c r="J127" s="444">
        <v>178</v>
      </c>
      <c r="K127" s="385"/>
      <c r="M127" s="73" t="s">
        <v>563</v>
      </c>
      <c r="N127" s="60"/>
    </row>
    <row r="128" spans="4:14">
      <c r="D128" s="379"/>
      <c r="E128" s="441" t="s">
        <v>440</v>
      </c>
      <c r="F128" t="s">
        <v>302</v>
      </c>
      <c r="G128" s="425" t="s">
        <v>568</v>
      </c>
      <c r="H128" s="425"/>
      <c r="J128" s="444"/>
      <c r="K128" s="385"/>
      <c r="M128" s="73" t="s">
        <v>558</v>
      </c>
      <c r="N128" s="60"/>
    </row>
    <row r="129" spans="4:14">
      <c r="D129" s="379"/>
      <c r="E129" s="441" t="s">
        <v>441</v>
      </c>
      <c r="F129" t="s">
        <v>302</v>
      </c>
      <c r="G129" s="425" t="s">
        <v>566</v>
      </c>
      <c r="H129" s="425"/>
      <c r="J129" s="444"/>
      <c r="K129" s="385"/>
      <c r="M129" s="73" t="s">
        <v>558</v>
      </c>
      <c r="N129" s="60"/>
    </row>
    <row r="130" spans="4:14">
      <c r="D130" s="373"/>
      <c r="E130" s="442" t="s">
        <v>442</v>
      </c>
      <c r="F130" s="25" t="s">
        <v>302</v>
      </c>
      <c r="G130" s="61"/>
      <c r="H130" s="426"/>
      <c r="I130" s="25"/>
      <c r="J130" s="445"/>
      <c r="K130" s="384"/>
      <c r="M130" s="79" t="s">
        <v>559</v>
      </c>
      <c r="N130" s="23"/>
    </row>
    <row r="131" spans="4:14" ht="7" customHeight="1">
      <c r="D131" s="339"/>
      <c r="J131" s="385"/>
      <c r="K131" s="385"/>
    </row>
    <row r="132" spans="4:14">
      <c r="D132" s="408"/>
      <c r="E132" s="409" t="s">
        <v>426</v>
      </c>
      <c r="F132" s="413"/>
      <c r="G132" s="414"/>
      <c r="H132" s="414"/>
      <c r="I132" s="413"/>
      <c r="J132" s="422"/>
      <c r="K132" s="415">
        <v>1982</v>
      </c>
      <c r="L132" s="154"/>
      <c r="M132" s="416" t="s">
        <v>430</v>
      </c>
      <c r="N132" s="417"/>
    </row>
    <row r="133" spans="4:14">
      <c r="D133" s="50"/>
      <c r="E133" s="63" t="s">
        <v>406</v>
      </c>
      <c r="F133" s="419"/>
      <c r="G133" s="420"/>
      <c r="H133" s="420"/>
      <c r="I133" s="419"/>
      <c r="J133" s="423"/>
      <c r="K133" s="421">
        <v>126.9</v>
      </c>
      <c r="L133" s="154"/>
      <c r="M133" s="416" t="s">
        <v>430</v>
      </c>
      <c r="N133" s="417"/>
    </row>
    <row r="134" spans="4:14" ht="7" customHeight="1"/>
    <row r="135" spans="4:14" ht="15" customHeight="1">
      <c r="F135" s="39" t="s">
        <v>690</v>
      </c>
      <c r="G135" s="390">
        <f>SUM(G112:G133)</f>
        <v>53</v>
      </c>
      <c r="H135" s="390">
        <f>SUM(H112:H133)</f>
        <v>351</v>
      </c>
      <c r="I135" s="389"/>
      <c r="J135" s="390">
        <f>SUM(J112:J133)</f>
        <v>1724.1</v>
      </c>
      <c r="K135" s="390">
        <f>SUM(K112:K133)</f>
        <v>2784.8317000000002</v>
      </c>
    </row>
    <row r="136" spans="4:14" ht="15" customHeight="1"/>
    <row r="137" spans="4:14" ht="15" customHeight="1">
      <c r="G137" s="2081" t="s">
        <v>330</v>
      </c>
      <c r="H137" s="2082"/>
      <c r="I137" s="154"/>
      <c r="J137" s="2083" t="s">
        <v>331</v>
      </c>
      <c r="K137" s="2084"/>
    </row>
    <row r="138" spans="4:14">
      <c r="D138" s="104"/>
      <c r="E138" s="154"/>
      <c r="F138" s="154"/>
      <c r="G138" s="391" t="s">
        <v>175</v>
      </c>
      <c r="H138" s="392" t="s">
        <v>340</v>
      </c>
      <c r="I138" s="393"/>
      <c r="J138" s="394" t="s">
        <v>175</v>
      </c>
      <c r="K138" s="395" t="s">
        <v>176</v>
      </c>
      <c r="L138" s="154"/>
      <c r="M138" s="154" t="s">
        <v>751</v>
      </c>
    </row>
    <row r="139" spans="4:14">
      <c r="D139" s="380" t="s">
        <v>44</v>
      </c>
      <c r="E139" s="519">
        <v>2014</v>
      </c>
      <c r="F139" s="381" t="s">
        <v>204</v>
      </c>
      <c r="G139" s="637" t="s">
        <v>191</v>
      </c>
      <c r="H139" s="638" t="s">
        <v>192</v>
      </c>
      <c r="I139" s="396"/>
      <c r="J139" s="639" t="s">
        <v>191</v>
      </c>
      <c r="K139" s="640" t="s">
        <v>192</v>
      </c>
      <c r="L139" s="154"/>
      <c r="M139" s="382" t="s">
        <v>48</v>
      </c>
    </row>
    <row r="140" spans="4:14" ht="8" customHeight="1"/>
    <row r="141" spans="4:14">
      <c r="D141" s="388">
        <v>44596</v>
      </c>
      <c r="E141" s="46" t="s">
        <v>623</v>
      </c>
      <c r="F141" s="46" t="s">
        <v>342</v>
      </c>
      <c r="G141" s="318"/>
      <c r="H141" s="318"/>
      <c r="I141" s="46"/>
      <c r="J141" s="376"/>
      <c r="K141" s="376">
        <v>76.7</v>
      </c>
      <c r="M141" t="s">
        <v>264</v>
      </c>
    </row>
    <row r="142" spans="4:14">
      <c r="D142" s="388">
        <v>44601</v>
      </c>
      <c r="E142" s="46" t="s">
        <v>273</v>
      </c>
      <c r="F142" s="46" t="s">
        <v>316</v>
      </c>
      <c r="G142" s="318"/>
      <c r="H142" s="318"/>
      <c r="I142" s="46"/>
      <c r="J142" s="376"/>
      <c r="K142" s="376">
        <v>81</v>
      </c>
      <c r="M142" t="s">
        <v>519</v>
      </c>
    </row>
    <row r="143" spans="4:14">
      <c r="D143" s="388">
        <v>44620</v>
      </c>
      <c r="E143" s="46" t="s">
        <v>286</v>
      </c>
      <c r="F143" s="46" t="s">
        <v>302</v>
      </c>
      <c r="G143" s="318"/>
      <c r="H143" s="318"/>
      <c r="I143" s="46"/>
      <c r="J143" s="376"/>
      <c r="K143" s="376"/>
      <c r="M143" t="s">
        <v>439</v>
      </c>
    </row>
    <row r="144" spans="4:14">
      <c r="D144" s="388">
        <v>44624</v>
      </c>
      <c r="E144" s="1197" t="s">
        <v>452</v>
      </c>
      <c r="F144" s="46" t="s">
        <v>1607</v>
      </c>
      <c r="G144" s="318"/>
      <c r="H144" s="318"/>
      <c r="I144" s="46"/>
      <c r="J144" s="406">
        <f>308*1.11</f>
        <v>341.88000000000005</v>
      </c>
      <c r="K144" s="376"/>
      <c r="M144" t="s">
        <v>472</v>
      </c>
    </row>
    <row r="145" spans="4:14">
      <c r="D145" s="388">
        <v>44640</v>
      </c>
      <c r="E145" s="46" t="s">
        <v>624</v>
      </c>
      <c r="F145" s="46" t="s">
        <v>344</v>
      </c>
      <c r="G145" s="318"/>
      <c r="H145" s="318"/>
      <c r="I145" s="46"/>
      <c r="J145" s="376"/>
      <c r="K145" s="376">
        <f>2.38*5.35*0.906</f>
        <v>11.536097999999999</v>
      </c>
      <c r="M145" t="s">
        <v>296</v>
      </c>
    </row>
    <row r="146" spans="4:14" ht="15" customHeight="1">
      <c r="D146" s="30" t="s">
        <v>46</v>
      </c>
      <c r="E146" t="s">
        <v>555</v>
      </c>
      <c r="F146" s="69" t="s">
        <v>342</v>
      </c>
      <c r="J146" s="435"/>
      <c r="K146" s="435">
        <v>330</v>
      </c>
      <c r="M146" t="s">
        <v>556</v>
      </c>
    </row>
    <row r="147" spans="4:14">
      <c r="D147" s="388">
        <v>44702</v>
      </c>
      <c r="E147" s="46" t="s">
        <v>625</v>
      </c>
      <c r="F147" s="46" t="s">
        <v>339</v>
      </c>
      <c r="G147" s="318"/>
      <c r="H147" s="318">
        <v>9</v>
      </c>
      <c r="I147" s="46"/>
      <c r="J147" s="376"/>
      <c r="K147" s="376"/>
      <c r="M147" t="s">
        <v>265</v>
      </c>
    </row>
    <row r="148" spans="4:14">
      <c r="D148" s="388">
        <v>44717</v>
      </c>
      <c r="E148" s="46" t="s">
        <v>626</v>
      </c>
      <c r="F148" s="46" t="s">
        <v>342</v>
      </c>
      <c r="G148" s="318"/>
      <c r="H148" s="318"/>
      <c r="I148" s="46"/>
      <c r="J148" s="376"/>
      <c r="K148" s="376">
        <v>28.6</v>
      </c>
      <c r="M148" t="s">
        <v>448</v>
      </c>
    </row>
    <row r="149" spans="4:14">
      <c r="D149" s="388">
        <v>44834</v>
      </c>
      <c r="E149" s="46" t="s">
        <v>397</v>
      </c>
      <c r="F149" s="46" t="s">
        <v>342</v>
      </c>
      <c r="G149" s="318"/>
      <c r="H149" s="318"/>
      <c r="I149" s="46"/>
      <c r="J149" s="376"/>
      <c r="K149" s="376">
        <f>1.36*180</f>
        <v>244.8</v>
      </c>
      <c r="M149" t="s">
        <v>473</v>
      </c>
    </row>
    <row r="150" spans="4:14">
      <c r="D150" s="388">
        <v>44879</v>
      </c>
      <c r="E150" s="46" t="s">
        <v>627</v>
      </c>
      <c r="F150" s="397" t="s">
        <v>339</v>
      </c>
      <c r="G150" s="318"/>
      <c r="H150" s="318">
        <v>89</v>
      </c>
      <c r="I150" s="46"/>
      <c r="J150" s="376"/>
      <c r="K150" s="376"/>
      <c r="M150" t="s">
        <v>449</v>
      </c>
    </row>
    <row r="151" spans="4:14">
      <c r="D151" s="388">
        <v>44911</v>
      </c>
      <c r="E151" s="46" t="s">
        <v>456</v>
      </c>
      <c r="F151" s="397" t="s">
        <v>339</v>
      </c>
      <c r="G151" s="318"/>
      <c r="H151" s="318"/>
      <c r="I151" s="46"/>
      <c r="J151" s="376"/>
      <c r="K151" s="376"/>
      <c r="M151" t="s">
        <v>453</v>
      </c>
    </row>
    <row r="152" spans="4:14" ht="15" customHeight="1">
      <c r="D152" s="45" t="s">
        <v>50</v>
      </c>
      <c r="E152" s="208" t="s">
        <v>628</v>
      </c>
      <c r="F152" s="46" t="s">
        <v>342</v>
      </c>
      <c r="G152" s="318"/>
      <c r="H152" s="318"/>
      <c r="I152" s="46"/>
      <c r="J152" s="376"/>
      <c r="K152" s="406">
        <f>400*1.11</f>
        <v>444.00000000000006</v>
      </c>
      <c r="M152" t="s">
        <v>474</v>
      </c>
    </row>
    <row r="153" spans="4:14" ht="15" customHeight="1"/>
    <row r="154" spans="4:14" ht="15" customHeight="1">
      <c r="D154" s="408"/>
      <c r="E154" s="409" t="s">
        <v>426</v>
      </c>
      <c r="F154" s="413"/>
      <c r="G154" s="414"/>
      <c r="H154" s="414"/>
      <c r="I154" s="413"/>
      <c r="J154" s="422"/>
      <c r="K154" s="415">
        <v>194.5</v>
      </c>
      <c r="L154" s="154"/>
      <c r="M154" s="416" t="s">
        <v>430</v>
      </c>
      <c r="N154" s="417"/>
    </row>
    <row r="155" spans="4:14" ht="15" customHeight="1">
      <c r="D155" s="50"/>
      <c r="E155" s="63" t="s">
        <v>406</v>
      </c>
      <c r="F155" s="419"/>
      <c r="G155" s="420"/>
      <c r="H155" s="420"/>
      <c r="I155" s="419"/>
      <c r="J155" s="423">
        <v>17.7</v>
      </c>
      <c r="K155" s="421"/>
      <c r="L155" s="154"/>
      <c r="M155" s="416" t="s">
        <v>430</v>
      </c>
      <c r="N155" s="417"/>
    </row>
    <row r="156" spans="4:14" ht="15" customHeight="1"/>
    <row r="157" spans="4:14" ht="15" customHeight="1">
      <c r="F157" s="39" t="s">
        <v>691</v>
      </c>
      <c r="G157" s="390">
        <f>SUM(G141:G155)</f>
        <v>0</v>
      </c>
      <c r="H157" s="390">
        <f>SUM(H141:H155)</f>
        <v>98</v>
      </c>
      <c r="I157" s="389"/>
      <c r="J157" s="390">
        <f>SUM(J141:J155)</f>
        <v>359.58000000000004</v>
      </c>
      <c r="K157" s="390">
        <f>SUM(K141:K155)</f>
        <v>1411.1360979999999</v>
      </c>
    </row>
    <row r="158" spans="4:14" ht="15" customHeight="1"/>
    <row r="159" spans="4:14" ht="15" customHeight="1">
      <c r="G159" s="2081" t="s">
        <v>330</v>
      </c>
      <c r="H159" s="2082"/>
      <c r="I159" s="154"/>
      <c r="J159" s="2083" t="s">
        <v>331</v>
      </c>
      <c r="K159" s="2084"/>
      <c r="M159" s="154" t="s">
        <v>749</v>
      </c>
    </row>
    <row r="160" spans="4:14">
      <c r="D160" s="104"/>
      <c r="E160" s="154"/>
      <c r="F160" s="154"/>
      <c r="G160" s="391" t="s">
        <v>175</v>
      </c>
      <c r="H160" s="392" t="s">
        <v>340</v>
      </c>
      <c r="I160" s="393"/>
      <c r="J160" s="394" t="s">
        <v>175</v>
      </c>
      <c r="K160" s="395" t="s">
        <v>176</v>
      </c>
      <c r="L160" s="154"/>
      <c r="M160" s="154" t="s">
        <v>750</v>
      </c>
    </row>
    <row r="161" spans="4:13">
      <c r="D161" s="380" t="s">
        <v>44</v>
      </c>
      <c r="E161" s="519">
        <v>2015</v>
      </c>
      <c r="F161" s="381" t="s">
        <v>204</v>
      </c>
      <c r="G161" s="637" t="s">
        <v>191</v>
      </c>
      <c r="H161" s="638" t="s">
        <v>192</v>
      </c>
      <c r="I161" s="396"/>
      <c r="J161" s="639" t="s">
        <v>191</v>
      </c>
      <c r="K161" s="640" t="s">
        <v>192</v>
      </c>
      <c r="L161" s="154"/>
      <c r="M161" s="382" t="s">
        <v>48</v>
      </c>
    </row>
    <row r="162" spans="4:13" ht="8" customHeight="1"/>
    <row r="163" spans="4:13">
      <c r="D163" s="388" t="s">
        <v>663</v>
      </c>
      <c r="E163" s="46" t="s">
        <v>1496</v>
      </c>
      <c r="F163" s="46"/>
      <c r="G163" s="318"/>
      <c r="H163" s="318"/>
      <c r="I163" s="46"/>
      <c r="J163" s="376"/>
      <c r="K163" s="376">
        <v>216.1</v>
      </c>
      <c r="M163" t="s">
        <v>1497</v>
      </c>
    </row>
    <row r="164" spans="4:13">
      <c r="D164" s="388">
        <v>44562</v>
      </c>
      <c r="E164" s="46" t="s">
        <v>471</v>
      </c>
      <c r="F164" s="46" t="s">
        <v>339</v>
      </c>
      <c r="G164" s="318"/>
      <c r="H164" s="318">
        <v>28</v>
      </c>
      <c r="I164" s="46"/>
      <c r="J164" s="376"/>
      <c r="K164" s="376"/>
      <c r="M164" t="s">
        <v>523</v>
      </c>
    </row>
    <row r="165" spans="4:13">
      <c r="D165" s="388">
        <v>44621</v>
      </c>
      <c r="E165" s="46" t="s">
        <v>629</v>
      </c>
      <c r="F165" s="46" t="s">
        <v>339</v>
      </c>
      <c r="G165" s="318"/>
      <c r="H165" s="318">
        <v>13</v>
      </c>
      <c r="I165" s="46"/>
      <c r="J165" s="376"/>
      <c r="K165" s="376"/>
      <c r="M165" t="s">
        <v>261</v>
      </c>
    </row>
    <row r="166" spans="4:13">
      <c r="D166" s="388">
        <v>44591</v>
      </c>
      <c r="E166" s="46" t="s">
        <v>377</v>
      </c>
      <c r="F166" s="46" t="s">
        <v>118</v>
      </c>
      <c r="G166" s="318"/>
      <c r="H166" s="318"/>
      <c r="I166" s="46"/>
      <c r="J166" s="376"/>
      <c r="K166" s="376">
        <v>300</v>
      </c>
      <c r="M166" t="s">
        <v>447</v>
      </c>
    </row>
    <row r="167" spans="4:13">
      <c r="D167" s="398">
        <v>44635</v>
      </c>
      <c r="E167" s="1198" t="s">
        <v>468</v>
      </c>
      <c r="F167" s="116" t="s">
        <v>1607</v>
      </c>
      <c r="G167" s="335"/>
      <c r="H167" s="335"/>
      <c r="I167" s="116"/>
      <c r="J167" s="471">
        <f>935*0.36*1.11</f>
        <v>373.62599999999998</v>
      </c>
      <c r="K167" s="377"/>
      <c r="M167" t="s">
        <v>470</v>
      </c>
    </row>
    <row r="168" spans="4:13">
      <c r="D168" s="365">
        <v>44661</v>
      </c>
      <c r="E168" s="24" t="s">
        <v>521</v>
      </c>
      <c r="F168" s="24" t="s">
        <v>118</v>
      </c>
      <c r="G168" s="57"/>
      <c r="H168" s="57"/>
      <c r="I168" s="24"/>
      <c r="J168" s="383"/>
      <c r="K168" s="472"/>
      <c r="M168" t="s">
        <v>777</v>
      </c>
    </row>
    <row r="169" spans="4:13">
      <c r="D169" s="373"/>
      <c r="E169" s="25"/>
      <c r="F169" s="25"/>
      <c r="G169" s="61"/>
      <c r="H169" s="61"/>
      <c r="I169" s="25"/>
      <c r="J169" s="384"/>
      <c r="K169" s="473"/>
      <c r="M169" t="s">
        <v>776</v>
      </c>
    </row>
    <row r="170" spans="4:13" ht="15" customHeight="1">
      <c r="D170" s="90"/>
      <c r="E170" s="56" t="s">
        <v>461</v>
      </c>
      <c r="F170" s="56" t="s">
        <v>330</v>
      </c>
      <c r="G170" s="401"/>
      <c r="H170" s="401">
        <v>61</v>
      </c>
      <c r="I170" s="56"/>
      <c r="J170" s="378"/>
      <c r="K170" s="378"/>
      <c r="M170" t="s">
        <v>336</v>
      </c>
    </row>
    <row r="171" spans="4:13">
      <c r="D171" s="388">
        <v>44685</v>
      </c>
      <c r="E171" s="46" t="s">
        <v>454</v>
      </c>
      <c r="F171" s="46" t="s">
        <v>339</v>
      </c>
      <c r="G171" s="318"/>
      <c r="H171" s="318"/>
      <c r="I171" s="46"/>
      <c r="J171" s="376"/>
      <c r="K171" s="376"/>
      <c r="M171" t="s">
        <v>455</v>
      </c>
    </row>
    <row r="172" spans="4:13">
      <c r="D172" s="379">
        <v>44717</v>
      </c>
      <c r="E172" s="467" t="s">
        <v>786</v>
      </c>
      <c r="F172" t="s">
        <v>339</v>
      </c>
      <c r="H172" s="53">
        <v>1657</v>
      </c>
      <c r="J172" s="385"/>
      <c r="K172" s="385"/>
      <c r="M172" t="s">
        <v>450</v>
      </c>
    </row>
    <row r="173" spans="4:13">
      <c r="D173" s="373"/>
      <c r="E173" s="25"/>
      <c r="F173" s="25"/>
      <c r="G173" s="61">
        <v>516</v>
      </c>
      <c r="H173" s="61"/>
      <c r="I173" s="25"/>
      <c r="J173" s="384"/>
      <c r="K173" s="384"/>
      <c r="M173" t="s">
        <v>262</v>
      </c>
    </row>
    <row r="174" spans="4:13">
      <c r="D174" s="388">
        <v>44722</v>
      </c>
      <c r="E174" s="46" t="s">
        <v>630</v>
      </c>
      <c r="F174" s="46" t="s">
        <v>342</v>
      </c>
      <c r="G174" s="318"/>
      <c r="H174" s="318"/>
      <c r="I174" s="46"/>
      <c r="J174" s="376"/>
      <c r="K174" s="376">
        <f>19.99*2.25*0.7832</f>
        <v>35.226377999999997</v>
      </c>
      <c r="M174" t="s">
        <v>298</v>
      </c>
    </row>
    <row r="175" spans="4:13">
      <c r="D175" s="388">
        <v>44730</v>
      </c>
      <c r="E175" s="46" t="s">
        <v>263</v>
      </c>
      <c r="F175" s="46" t="s">
        <v>302</v>
      </c>
      <c r="G175" s="318"/>
      <c r="H175" s="318"/>
      <c r="I175" s="46"/>
      <c r="J175" s="376">
        <v>313.2</v>
      </c>
      <c r="K175" s="376"/>
      <c r="M175" t="s">
        <v>467</v>
      </c>
    </row>
    <row r="176" spans="4:13">
      <c r="D176" s="388">
        <v>44797</v>
      </c>
      <c r="E176" s="484" t="s">
        <v>43</v>
      </c>
      <c r="F176" s="46" t="s">
        <v>800</v>
      </c>
      <c r="G176" s="318"/>
      <c r="H176" s="318"/>
      <c r="I176" s="46"/>
      <c r="J176" s="376"/>
      <c r="K176" s="376"/>
      <c r="M176" t="s">
        <v>801</v>
      </c>
    </row>
    <row r="177" spans="4:14">
      <c r="D177" s="388">
        <v>44809</v>
      </c>
      <c r="E177" s="46" t="s">
        <v>631</v>
      </c>
      <c r="F177" s="46" t="s">
        <v>342</v>
      </c>
      <c r="G177" s="318"/>
      <c r="H177" s="318"/>
      <c r="I177" s="46"/>
      <c r="J177" s="376"/>
      <c r="K177" s="376"/>
      <c r="M177" t="s">
        <v>465</v>
      </c>
    </row>
    <row r="178" spans="4:14">
      <c r="D178" s="388" t="s">
        <v>160</v>
      </c>
      <c r="E178" s="46" t="s">
        <v>1449</v>
      </c>
      <c r="F178" s="46" t="s">
        <v>339</v>
      </c>
      <c r="G178" s="318"/>
      <c r="H178" s="318">
        <v>91</v>
      </c>
      <c r="I178" s="46"/>
      <c r="J178" s="376"/>
      <c r="K178" s="376"/>
      <c r="M178" t="s">
        <v>462</v>
      </c>
    </row>
    <row r="179" spans="4:14">
      <c r="D179" s="388">
        <v>44854</v>
      </c>
      <c r="E179" s="46" t="s">
        <v>766</v>
      </c>
      <c r="F179" s="46" t="s">
        <v>312</v>
      </c>
      <c r="G179" s="318"/>
      <c r="H179" s="318"/>
      <c r="I179" s="46"/>
      <c r="J179" s="376"/>
      <c r="K179" s="376">
        <v>300</v>
      </c>
      <c r="M179" t="s">
        <v>767</v>
      </c>
    </row>
    <row r="180" spans="4:14">
      <c r="D180" s="388">
        <v>44864</v>
      </c>
      <c r="E180" s="607" t="s">
        <v>480</v>
      </c>
      <c r="F180" s="46" t="s">
        <v>316</v>
      </c>
      <c r="G180" s="318"/>
      <c r="H180" s="318">
        <v>234</v>
      </c>
      <c r="I180" s="46"/>
      <c r="J180" s="376"/>
      <c r="K180" s="376"/>
      <c r="M180" t="s">
        <v>460</v>
      </c>
    </row>
    <row r="181" spans="4:14">
      <c r="D181" s="388" t="s">
        <v>47</v>
      </c>
      <c r="E181" s="208" t="s">
        <v>369</v>
      </c>
      <c r="F181" s="46" t="s">
        <v>325</v>
      </c>
      <c r="G181" s="318"/>
      <c r="H181" s="318"/>
      <c r="I181" s="46"/>
      <c r="J181" s="376"/>
      <c r="K181" s="406">
        <f>350*1.11</f>
        <v>388.50000000000006</v>
      </c>
      <c r="M181" t="s">
        <v>475</v>
      </c>
    </row>
    <row r="182" spans="4:14">
      <c r="D182" s="379" t="s">
        <v>47</v>
      </c>
      <c r="E182" s="69" t="s">
        <v>464</v>
      </c>
      <c r="J182" s="385"/>
      <c r="K182" s="385">
        <v>46</v>
      </c>
      <c r="M182" t="s">
        <v>463</v>
      </c>
    </row>
    <row r="183" spans="4:14">
      <c r="D183" s="379">
        <v>44917</v>
      </c>
      <c r="E183" s="611" t="s">
        <v>632</v>
      </c>
      <c r="F183" t="s">
        <v>339</v>
      </c>
      <c r="H183" s="53">
        <v>181</v>
      </c>
      <c r="J183" s="385"/>
      <c r="K183" s="385"/>
      <c r="M183" t="s">
        <v>459</v>
      </c>
    </row>
    <row r="184" spans="4:14">
      <c r="D184" s="373"/>
      <c r="E184" s="25"/>
      <c r="F184" s="25"/>
      <c r="G184" s="61"/>
      <c r="H184" s="61"/>
      <c r="I184" s="25"/>
      <c r="J184" s="384"/>
      <c r="K184" s="384"/>
      <c r="M184" t="s">
        <v>370</v>
      </c>
    </row>
    <row r="185" spans="4:14">
      <c r="D185" s="479" t="s">
        <v>789</v>
      </c>
      <c r="E185" s="617" t="s">
        <v>939</v>
      </c>
      <c r="F185" s="46" t="s">
        <v>339</v>
      </c>
      <c r="G185" s="318"/>
      <c r="H185" s="318">
        <v>28.6</v>
      </c>
      <c r="I185" s="46"/>
      <c r="J185" s="376"/>
      <c r="K185" s="376"/>
      <c r="M185" t="s">
        <v>791</v>
      </c>
    </row>
    <row r="186" spans="4:14" ht="15" customHeight="1">
      <c r="D186" s="45"/>
      <c r="E186" s="46" t="s">
        <v>517</v>
      </c>
      <c r="F186" s="46" t="s">
        <v>476</v>
      </c>
      <c r="G186" s="318"/>
      <c r="H186" s="318"/>
      <c r="I186" s="46"/>
      <c r="J186" s="376"/>
      <c r="K186" s="376">
        <v>65</v>
      </c>
      <c r="M186" t="s">
        <v>518</v>
      </c>
    </row>
    <row r="187" spans="4:14" ht="15" customHeight="1">
      <c r="D187" s="45"/>
      <c r="E187" s="46" t="s">
        <v>65</v>
      </c>
      <c r="F187" s="46" t="s">
        <v>728</v>
      </c>
      <c r="G187" s="318"/>
      <c r="H187" s="318"/>
      <c r="I187" s="46"/>
      <c r="J187" s="376"/>
      <c r="K187" s="376"/>
      <c r="M187" t="s">
        <v>729</v>
      </c>
    </row>
    <row r="188" spans="4:14" ht="15" customHeight="1">
      <c r="D188" s="45"/>
      <c r="E188" s="46" t="s">
        <v>587</v>
      </c>
      <c r="F188" s="46" t="s">
        <v>728</v>
      </c>
      <c r="G188" s="318"/>
      <c r="H188" s="318"/>
      <c r="I188" s="46"/>
      <c r="J188" s="376"/>
      <c r="K188" s="376"/>
    </row>
    <row r="189" spans="4:14">
      <c r="D189" s="26"/>
      <c r="E189" s="63" t="s">
        <v>457</v>
      </c>
      <c r="F189" s="63" t="s">
        <v>330</v>
      </c>
      <c r="G189" s="64"/>
      <c r="H189" s="64"/>
      <c r="I189" s="63"/>
      <c r="J189" s="367"/>
      <c r="K189" s="367"/>
      <c r="M189" t="s">
        <v>458</v>
      </c>
    </row>
    <row r="190" spans="4:14" ht="7" customHeight="1">
      <c r="J190" s="385"/>
      <c r="K190" s="385"/>
    </row>
    <row r="191" spans="4:14" ht="15" customHeight="1">
      <c r="D191" s="408"/>
      <c r="E191" s="409" t="s">
        <v>426</v>
      </c>
      <c r="F191" s="413"/>
      <c r="G191" s="414"/>
      <c r="H191" s="414"/>
      <c r="I191" s="413"/>
      <c r="J191" s="422">
        <v>501.8</v>
      </c>
      <c r="K191" s="415"/>
      <c r="L191" s="154"/>
      <c r="M191" s="416" t="s">
        <v>429</v>
      </c>
      <c r="N191" s="417"/>
    </row>
    <row r="192" spans="4:14" ht="15" customHeight="1">
      <c r="D192" s="50"/>
      <c r="E192" s="63" t="s">
        <v>406</v>
      </c>
      <c r="F192" s="419"/>
      <c r="G192" s="420"/>
      <c r="H192" s="420"/>
      <c r="I192" s="419"/>
      <c r="J192" s="423">
        <v>35.700000000000003</v>
      </c>
      <c r="K192" s="421"/>
      <c r="L192" s="154"/>
      <c r="M192" s="416" t="s">
        <v>429</v>
      </c>
      <c r="N192" s="417"/>
    </row>
    <row r="193" spans="1:14" ht="15" customHeight="1">
      <c r="D193" s="26"/>
      <c r="E193" s="418" t="s">
        <v>524</v>
      </c>
      <c r="F193" s="418"/>
      <c r="G193" s="432"/>
      <c r="H193" s="432"/>
      <c r="I193" s="418"/>
      <c r="J193" s="433"/>
      <c r="K193" s="434"/>
      <c r="L193" s="154"/>
      <c r="M193" s="154" t="s">
        <v>985</v>
      </c>
      <c r="N193" s="154"/>
    </row>
    <row r="194" spans="1:14" ht="7" customHeight="1"/>
    <row r="195" spans="1:14" ht="15" customHeight="1">
      <c r="F195" s="39" t="s">
        <v>692</v>
      </c>
      <c r="G195" s="390">
        <f>SUM(G163:G192)</f>
        <v>516</v>
      </c>
      <c r="H195" s="390">
        <f>SUM(H163:H192)</f>
        <v>2293.6</v>
      </c>
      <c r="I195" s="389"/>
      <c r="J195" s="390">
        <f>SUM(J163:J192)</f>
        <v>1224.326</v>
      </c>
      <c r="K195" s="390">
        <f>SUM(K163:K192)</f>
        <v>1350.826378</v>
      </c>
    </row>
    <row r="196" spans="1:14" ht="15" customHeight="1"/>
    <row r="197" spans="1:14" ht="15" customHeight="1">
      <c r="G197" s="2081" t="s">
        <v>330</v>
      </c>
      <c r="H197" s="2082"/>
      <c r="I197" s="154"/>
      <c r="J197" s="2083" t="s">
        <v>331</v>
      </c>
      <c r="K197" s="2084"/>
      <c r="M197" t="s">
        <v>1609</v>
      </c>
    </row>
    <row r="198" spans="1:14">
      <c r="A198" s="154"/>
      <c r="B198" s="154"/>
      <c r="C198" s="154"/>
      <c r="D198" s="104"/>
      <c r="E198" s="154"/>
      <c r="F198" s="154"/>
      <c r="G198" s="391" t="s">
        <v>175</v>
      </c>
      <c r="H198" s="392" t="s">
        <v>340</v>
      </c>
      <c r="I198" s="393"/>
      <c r="J198" s="394" t="s">
        <v>175</v>
      </c>
      <c r="K198" s="395" t="s">
        <v>176</v>
      </c>
      <c r="L198" s="154"/>
      <c r="M198" t="s">
        <v>748</v>
      </c>
      <c r="N198" s="154"/>
    </row>
    <row r="199" spans="1:14">
      <c r="A199" s="154"/>
      <c r="B199" s="154"/>
      <c r="C199" s="154"/>
      <c r="D199" s="380" t="s">
        <v>44</v>
      </c>
      <c r="E199" s="519">
        <v>2016</v>
      </c>
      <c r="F199" s="381" t="s">
        <v>204</v>
      </c>
      <c r="G199" s="637" t="s">
        <v>191</v>
      </c>
      <c r="H199" s="638" t="s">
        <v>192</v>
      </c>
      <c r="I199" s="396"/>
      <c r="J199" s="639" t="s">
        <v>191</v>
      </c>
      <c r="K199" s="640" t="s">
        <v>192</v>
      </c>
      <c r="L199" s="154"/>
      <c r="M199" s="382" t="s">
        <v>48</v>
      </c>
      <c r="N199" s="154"/>
    </row>
    <row r="200" spans="1:14" ht="8" customHeight="1"/>
    <row r="201" spans="1:14">
      <c r="D201" s="388" t="s">
        <v>663</v>
      </c>
      <c r="E201" s="46" t="s">
        <v>1496</v>
      </c>
      <c r="F201" s="46"/>
      <c r="G201" s="318"/>
      <c r="H201" s="318"/>
      <c r="I201" s="46"/>
      <c r="J201" s="427"/>
      <c r="K201" s="427">
        <v>227.8</v>
      </c>
      <c r="M201" t="s">
        <v>1497</v>
      </c>
    </row>
    <row r="202" spans="1:14">
      <c r="D202" s="388">
        <v>44566</v>
      </c>
      <c r="E202" s="724" t="s">
        <v>1498</v>
      </c>
      <c r="F202" s="46" t="s">
        <v>185</v>
      </c>
      <c r="G202" s="318"/>
      <c r="H202" s="318"/>
      <c r="I202" s="46"/>
      <c r="J202" s="376"/>
      <c r="K202" s="725">
        <v>340</v>
      </c>
      <c r="M202" t="s">
        <v>572</v>
      </c>
    </row>
    <row r="203" spans="1:14">
      <c r="D203" s="388">
        <v>44651</v>
      </c>
      <c r="E203" s="46" t="s">
        <v>522</v>
      </c>
      <c r="F203" s="46" t="s">
        <v>119</v>
      </c>
      <c r="G203" s="318"/>
      <c r="H203" s="318"/>
      <c r="I203" s="46"/>
      <c r="J203" s="376"/>
      <c r="K203" s="376">
        <v>100</v>
      </c>
      <c r="M203" t="s">
        <v>512</v>
      </c>
    </row>
    <row r="204" spans="1:14">
      <c r="D204" s="366">
        <v>44697</v>
      </c>
      <c r="E204" s="409" t="s">
        <v>411</v>
      </c>
      <c r="F204" s="409" t="s">
        <v>415</v>
      </c>
      <c r="G204" s="64"/>
      <c r="H204" s="64"/>
      <c r="I204" s="63"/>
      <c r="J204" s="367"/>
      <c r="K204" s="367"/>
      <c r="L204" s="63"/>
      <c r="M204" s="63" t="s">
        <v>414</v>
      </c>
      <c r="N204" s="28"/>
    </row>
    <row r="205" spans="1:14">
      <c r="D205" s="366" t="s">
        <v>49</v>
      </c>
      <c r="E205" s="459" t="s">
        <v>670</v>
      </c>
      <c r="F205" s="63" t="s">
        <v>118</v>
      </c>
      <c r="G205" s="64"/>
      <c r="H205" s="64"/>
      <c r="I205" s="63"/>
      <c r="J205" s="367"/>
      <c r="K205" s="367"/>
      <c r="M205" t="s">
        <v>520</v>
      </c>
    </row>
    <row r="206" spans="1:14">
      <c r="D206" s="388" t="s">
        <v>51</v>
      </c>
      <c r="E206" s="468" t="s">
        <v>787</v>
      </c>
      <c r="F206" s="46" t="s">
        <v>316</v>
      </c>
      <c r="G206" s="318"/>
      <c r="H206" s="318"/>
      <c r="I206" s="46"/>
      <c r="J206" s="376"/>
      <c r="K206" s="376"/>
      <c r="M206" t="s">
        <v>788</v>
      </c>
    </row>
    <row r="207" spans="1:14">
      <c r="D207" s="388">
        <v>44798</v>
      </c>
      <c r="E207" s="46" t="s">
        <v>295</v>
      </c>
      <c r="F207" s="46" t="s">
        <v>316</v>
      </c>
      <c r="G207" s="318"/>
      <c r="H207" s="318"/>
      <c r="I207" s="46"/>
      <c r="J207" s="376"/>
      <c r="K207" s="376">
        <f>3.54*1.77*0.7553</f>
        <v>4.73255874</v>
      </c>
      <c r="M207" t="s">
        <v>299</v>
      </c>
    </row>
    <row r="208" spans="1:14">
      <c r="D208" s="388">
        <v>44837</v>
      </c>
      <c r="E208" s="46" t="s">
        <v>633</v>
      </c>
      <c r="F208" s="46" t="s">
        <v>339</v>
      </c>
      <c r="G208" s="318"/>
      <c r="H208" s="318">
        <v>10</v>
      </c>
      <c r="I208" s="46"/>
      <c r="J208" s="376"/>
      <c r="K208" s="376"/>
      <c r="M208" t="s">
        <v>257</v>
      </c>
    </row>
    <row r="209" spans="4:14">
      <c r="D209" s="388">
        <v>44844</v>
      </c>
      <c r="E209" s="46" t="s">
        <v>258</v>
      </c>
      <c r="F209" s="46" t="s">
        <v>339</v>
      </c>
      <c r="G209" s="318"/>
      <c r="H209" s="318">
        <v>179</v>
      </c>
      <c r="I209" s="46"/>
      <c r="J209" s="376"/>
      <c r="K209" s="376"/>
      <c r="M209" t="s">
        <v>259</v>
      </c>
    </row>
    <row r="210" spans="4:14">
      <c r="D210" s="388">
        <v>44852</v>
      </c>
      <c r="E210" s="46" t="s">
        <v>246</v>
      </c>
      <c r="F210" s="46" t="s">
        <v>339</v>
      </c>
      <c r="G210" s="318"/>
      <c r="H210" s="318">
        <v>240</v>
      </c>
      <c r="I210" s="46"/>
      <c r="J210" s="376"/>
      <c r="K210" s="376"/>
      <c r="M210" t="s">
        <v>489</v>
      </c>
    </row>
    <row r="211" spans="4:14">
      <c r="D211" s="398">
        <v>44865</v>
      </c>
      <c r="E211" s="116" t="s">
        <v>634</v>
      </c>
      <c r="F211" s="116" t="s">
        <v>515</v>
      </c>
      <c r="G211" s="335"/>
      <c r="H211" s="335"/>
      <c r="I211" s="116"/>
      <c r="J211" s="377"/>
      <c r="K211" s="377">
        <v>31.4</v>
      </c>
      <c r="M211" t="s">
        <v>525</v>
      </c>
    </row>
    <row r="212" spans="4:14">
      <c r="D212" s="365" t="s">
        <v>810</v>
      </c>
      <c r="E212" s="487" t="s">
        <v>43</v>
      </c>
      <c r="F212" s="24" t="s">
        <v>809</v>
      </c>
      <c r="G212" s="57"/>
      <c r="H212" s="57"/>
      <c r="I212" s="24"/>
      <c r="J212" s="383"/>
      <c r="K212" s="472"/>
      <c r="M212" t="s">
        <v>806</v>
      </c>
    </row>
    <row r="213" spans="4:14">
      <c r="D213" s="373"/>
      <c r="E213" s="25"/>
      <c r="F213" s="25" t="s">
        <v>808</v>
      </c>
      <c r="G213" s="61"/>
      <c r="H213" s="61"/>
      <c r="I213" s="25"/>
      <c r="J213" s="384"/>
      <c r="K213" s="473"/>
      <c r="M213" s="478" t="s">
        <v>807</v>
      </c>
    </row>
    <row r="214" spans="4:14">
      <c r="D214" s="399">
        <v>44904</v>
      </c>
      <c r="E214" s="1199" t="s">
        <v>469</v>
      </c>
      <c r="F214" s="56" t="s">
        <v>300</v>
      </c>
      <c r="G214" s="401"/>
      <c r="H214" s="401"/>
      <c r="I214" s="56"/>
      <c r="J214" s="486">
        <f>95*1.1068</f>
        <v>105.146</v>
      </c>
      <c r="K214" s="378"/>
      <c r="M214" t="s">
        <v>1608</v>
      </c>
    </row>
    <row r="215" spans="4:14">
      <c r="D215" s="388">
        <v>44902</v>
      </c>
      <c r="E215" s="46" t="s">
        <v>488</v>
      </c>
      <c r="F215" s="46"/>
      <c r="G215" s="318"/>
      <c r="H215" s="318">
        <v>128</v>
      </c>
      <c r="I215" s="46"/>
      <c r="J215" s="376"/>
      <c r="K215" s="376"/>
      <c r="M215" t="s">
        <v>260</v>
      </c>
    </row>
    <row r="216" spans="4:14">
      <c r="D216" s="388">
        <v>44914</v>
      </c>
      <c r="E216" s="63" t="s">
        <v>635</v>
      </c>
      <c r="F216" s="63" t="s">
        <v>545</v>
      </c>
      <c r="G216" s="64"/>
      <c r="H216" s="64"/>
      <c r="I216" s="63"/>
      <c r="J216" s="367"/>
      <c r="K216" s="367">
        <v>155</v>
      </c>
      <c r="M216" t="s">
        <v>546</v>
      </c>
    </row>
    <row r="217" spans="4:14">
      <c r="D217" s="388"/>
      <c r="E217" s="46" t="s">
        <v>733</v>
      </c>
      <c r="F217" s="46" t="s">
        <v>514</v>
      </c>
      <c r="G217" s="318"/>
      <c r="H217" s="318"/>
      <c r="I217" s="46"/>
      <c r="J217" s="376"/>
      <c r="K217" s="376">
        <v>50</v>
      </c>
      <c r="M217" t="s">
        <v>731</v>
      </c>
    </row>
    <row r="218" spans="4:14">
      <c r="D218" s="388"/>
      <c r="E218" s="46" t="s">
        <v>636</v>
      </c>
      <c r="F218" s="46" t="s">
        <v>514</v>
      </c>
      <c r="G218" s="318"/>
      <c r="H218" s="318"/>
      <c r="I218" s="46"/>
      <c r="J218" s="376"/>
      <c r="K218" s="376"/>
    </row>
    <row r="219" spans="4:14">
      <c r="D219" s="388"/>
      <c r="E219" s="46" t="s">
        <v>637</v>
      </c>
      <c r="F219" s="46" t="s">
        <v>514</v>
      </c>
      <c r="G219" s="318"/>
      <c r="H219" s="318"/>
      <c r="I219" s="46"/>
      <c r="J219" s="376"/>
      <c r="K219" s="376">
        <v>42</v>
      </c>
      <c r="M219" t="s">
        <v>513</v>
      </c>
    </row>
    <row r="220" spans="4:14" ht="7" customHeight="1"/>
    <row r="221" spans="4:14">
      <c r="D221" s="408"/>
      <c r="E221" s="409" t="s">
        <v>426</v>
      </c>
      <c r="F221" s="413"/>
      <c r="G221" s="414"/>
      <c r="H221" s="414"/>
      <c r="I221" s="413"/>
      <c r="J221" s="422"/>
      <c r="K221" s="415">
        <v>1192.9000000000001</v>
      </c>
      <c r="L221" s="154"/>
      <c r="M221" s="416" t="s">
        <v>485</v>
      </c>
      <c r="N221" s="417"/>
    </row>
    <row r="222" spans="4:14" ht="15" customHeight="1">
      <c r="D222" s="50"/>
      <c r="E222" s="63" t="s">
        <v>406</v>
      </c>
      <c r="F222" s="419"/>
      <c r="G222" s="420"/>
      <c r="H222" s="420"/>
      <c r="I222" s="419"/>
      <c r="J222" s="423"/>
      <c r="K222" s="421">
        <v>196.2</v>
      </c>
      <c r="L222" s="154"/>
      <c r="M222" s="416" t="s">
        <v>429</v>
      </c>
      <c r="N222" s="417"/>
    </row>
    <row r="223" spans="4:14" ht="15" customHeight="1">
      <c r="D223" s="26"/>
      <c r="E223" s="418" t="s">
        <v>524</v>
      </c>
      <c r="F223" s="418"/>
      <c r="G223" s="432"/>
      <c r="H223" s="432"/>
      <c r="I223" s="418"/>
      <c r="J223" s="433"/>
      <c r="K223" s="434"/>
      <c r="L223" s="154"/>
      <c r="M223" s="154" t="s">
        <v>536</v>
      </c>
      <c r="N223" s="154"/>
    </row>
    <row r="224" spans="4:14" ht="7" customHeight="1">
      <c r="D224" s="154"/>
      <c r="E224" s="154"/>
      <c r="F224" s="154"/>
      <c r="G224" s="429"/>
      <c r="H224" s="429"/>
      <c r="I224" s="154"/>
      <c r="J224" s="430"/>
      <c r="K224" s="431"/>
      <c r="L224" s="154"/>
      <c r="M224" s="154"/>
      <c r="N224" s="154"/>
    </row>
    <row r="225" spans="1:14" ht="15" customHeight="1">
      <c r="F225" s="39" t="s">
        <v>693</v>
      </c>
      <c r="G225" s="390">
        <f>SUM(G201:G224)</f>
        <v>0</v>
      </c>
      <c r="H225" s="390">
        <f>SUM(H201:H224)</f>
        <v>557</v>
      </c>
      <c r="I225" s="389"/>
      <c r="J225" s="390">
        <f>SUM(J201:J224)</f>
        <v>105.146</v>
      </c>
      <c r="K225" s="390">
        <f>SUM(K201:K224)</f>
        <v>2340.0325587399998</v>
      </c>
    </row>
    <row r="226" spans="1:14" ht="15" customHeight="1"/>
    <row r="227" spans="1:14" ht="15" customHeight="1">
      <c r="G227" s="2081" t="s">
        <v>330</v>
      </c>
      <c r="H227" s="2082"/>
      <c r="I227" s="154"/>
      <c r="J227" s="2083" t="s">
        <v>331</v>
      </c>
      <c r="K227" s="2084"/>
    </row>
    <row r="228" spans="1:14">
      <c r="A228" s="154"/>
      <c r="B228" s="154"/>
      <c r="C228" s="154"/>
      <c r="D228" s="104"/>
      <c r="E228" s="154"/>
      <c r="F228" s="154"/>
      <c r="G228" s="391" t="s">
        <v>175</v>
      </c>
      <c r="H228" s="392" t="s">
        <v>340</v>
      </c>
      <c r="I228" s="393"/>
      <c r="J228" s="394" t="s">
        <v>175</v>
      </c>
      <c r="K228" s="395" t="s">
        <v>176</v>
      </c>
      <c r="L228" s="154"/>
      <c r="M228" s="154"/>
      <c r="N228" s="154"/>
    </row>
    <row r="229" spans="1:14">
      <c r="A229" s="154"/>
      <c r="B229" s="154"/>
      <c r="C229" s="154"/>
      <c r="D229" s="380" t="s">
        <v>44</v>
      </c>
      <c r="E229" s="519">
        <v>2017</v>
      </c>
      <c r="F229" s="381" t="s">
        <v>204</v>
      </c>
      <c r="G229" s="637" t="s">
        <v>191</v>
      </c>
      <c r="H229" s="638" t="s">
        <v>192</v>
      </c>
      <c r="I229" s="396"/>
      <c r="J229" s="639" t="s">
        <v>191</v>
      </c>
      <c r="K229" s="640" t="s">
        <v>192</v>
      </c>
      <c r="L229" s="154"/>
      <c r="M229" s="382" t="s">
        <v>48</v>
      </c>
      <c r="N229" s="154"/>
    </row>
    <row r="230" spans="1:14" ht="8" customHeight="1"/>
    <row r="231" spans="1:14">
      <c r="D231" s="388" t="s">
        <v>663</v>
      </c>
      <c r="E231" s="46" t="s">
        <v>1496</v>
      </c>
      <c r="F231" s="46"/>
      <c r="G231" s="318"/>
      <c r="H231" s="318"/>
      <c r="I231" s="46"/>
      <c r="J231" s="376"/>
      <c r="K231" s="376">
        <v>237.4</v>
      </c>
      <c r="M231" t="s">
        <v>1497</v>
      </c>
    </row>
    <row r="232" spans="1:14">
      <c r="D232" s="388">
        <v>44574</v>
      </c>
      <c r="E232" s="46" t="s">
        <v>378</v>
      </c>
      <c r="F232" s="46" t="s">
        <v>486</v>
      </c>
      <c r="G232" s="318"/>
      <c r="H232" s="318"/>
      <c r="I232" s="46"/>
      <c r="J232" s="376"/>
      <c r="K232" s="376">
        <v>145</v>
      </c>
      <c r="M232" t="s">
        <v>245</v>
      </c>
    </row>
    <row r="233" spans="1:14">
      <c r="D233" s="388">
        <v>44587</v>
      </c>
      <c r="E233" s="46" t="s">
        <v>638</v>
      </c>
      <c r="F233" s="63" t="s">
        <v>545</v>
      </c>
      <c r="G233" s="318"/>
      <c r="H233" s="318"/>
      <c r="I233" s="46"/>
      <c r="J233" s="376"/>
      <c r="K233" s="376">
        <v>116</v>
      </c>
      <c r="M233" t="s">
        <v>548</v>
      </c>
    </row>
    <row r="234" spans="1:14">
      <c r="D234" s="388">
        <v>44609</v>
      </c>
      <c r="E234" s="208" t="s">
        <v>243</v>
      </c>
      <c r="F234" s="46" t="s">
        <v>118</v>
      </c>
      <c r="G234" s="318"/>
      <c r="H234" s="318"/>
      <c r="I234" s="46"/>
      <c r="J234" s="376"/>
      <c r="K234" s="406">
        <v>325</v>
      </c>
      <c r="M234" t="s">
        <v>554</v>
      </c>
    </row>
    <row r="235" spans="1:14">
      <c r="D235" s="388">
        <v>44616</v>
      </c>
      <c r="E235" s="46" t="s">
        <v>639</v>
      </c>
      <c r="F235" s="63" t="s">
        <v>545</v>
      </c>
      <c r="G235" s="318"/>
      <c r="H235" s="318"/>
      <c r="I235" s="46"/>
      <c r="J235" s="376"/>
      <c r="K235" s="376">
        <v>78</v>
      </c>
      <c r="M235" t="s">
        <v>550</v>
      </c>
    </row>
    <row r="236" spans="1:14">
      <c r="D236" s="388">
        <v>44621</v>
      </c>
      <c r="E236" s="46" t="s">
        <v>574</v>
      </c>
      <c r="F236" s="46" t="s">
        <v>589</v>
      </c>
      <c r="G236" s="318"/>
      <c r="H236" s="318"/>
      <c r="I236" s="46"/>
      <c r="J236" s="376"/>
      <c r="K236" s="376">
        <v>95</v>
      </c>
      <c r="M236" t="s">
        <v>588</v>
      </c>
    </row>
    <row r="237" spans="1:14">
      <c r="D237" s="388"/>
      <c r="E237" s="46" t="s">
        <v>57</v>
      </c>
      <c r="F237" s="46" t="s">
        <v>593</v>
      </c>
      <c r="G237" s="318"/>
      <c r="H237" s="318"/>
      <c r="I237" s="46"/>
      <c r="J237" s="376"/>
      <c r="K237" s="376">
        <v>64</v>
      </c>
      <c r="M237" t="s">
        <v>590</v>
      </c>
    </row>
    <row r="238" spans="1:14">
      <c r="D238" s="388">
        <v>44621</v>
      </c>
      <c r="E238" s="46" t="s">
        <v>640</v>
      </c>
      <c r="F238" s="397" t="s">
        <v>531</v>
      </c>
      <c r="G238" s="318"/>
      <c r="H238" s="318"/>
      <c r="I238" s="46"/>
      <c r="J238" s="376"/>
      <c r="K238" s="376">
        <v>153.5</v>
      </c>
      <c r="M238" t="s">
        <v>516</v>
      </c>
    </row>
    <row r="239" spans="1:14">
      <c r="D239" s="388">
        <v>44635</v>
      </c>
      <c r="E239" s="46" t="s">
        <v>765</v>
      </c>
      <c r="F239" s="397" t="s">
        <v>763</v>
      </c>
      <c r="G239" s="318"/>
      <c r="H239" s="318"/>
      <c r="I239" s="46"/>
      <c r="J239" s="376"/>
      <c r="K239" s="376">
        <v>151</v>
      </c>
      <c r="M239" t="s">
        <v>764</v>
      </c>
    </row>
    <row r="240" spans="1:14">
      <c r="D240" s="388"/>
      <c r="E240" s="46"/>
      <c r="F240" s="397" t="s">
        <v>762</v>
      </c>
      <c r="G240" s="318"/>
      <c r="H240" s="318"/>
      <c r="I240" s="46"/>
      <c r="J240" s="376"/>
      <c r="K240" s="376"/>
      <c r="M240" t="s">
        <v>768</v>
      </c>
    </row>
    <row r="241" spans="4:13">
      <c r="D241" s="388">
        <v>44691</v>
      </c>
      <c r="E241" s="46" t="s">
        <v>770</v>
      </c>
      <c r="F241" s="397" t="s">
        <v>342</v>
      </c>
      <c r="G241" s="318"/>
      <c r="H241" s="318"/>
      <c r="I241" s="46"/>
      <c r="J241" s="376"/>
      <c r="K241" s="376">
        <v>104.4</v>
      </c>
      <c r="M241" t="s">
        <v>315</v>
      </c>
    </row>
    <row r="242" spans="4:13">
      <c r="D242" s="388">
        <v>44708</v>
      </c>
      <c r="E242" s="607" t="s">
        <v>481</v>
      </c>
      <c r="F242" s="46" t="s">
        <v>482</v>
      </c>
      <c r="G242" s="405">
        <v>376</v>
      </c>
      <c r="H242" s="318"/>
      <c r="I242" s="46"/>
      <c r="J242" s="376"/>
      <c r="K242" s="376"/>
      <c r="M242" t="s">
        <v>314</v>
      </c>
    </row>
    <row r="243" spans="4:13">
      <c r="D243" s="366">
        <v>44714</v>
      </c>
      <c r="E243" s="63" t="s">
        <v>641</v>
      </c>
      <c r="F243" s="63" t="s">
        <v>545</v>
      </c>
      <c r="G243" s="64"/>
      <c r="H243" s="64"/>
      <c r="I243" s="63"/>
      <c r="J243" s="367"/>
      <c r="K243" s="367">
        <v>39</v>
      </c>
      <c r="M243" t="s">
        <v>549</v>
      </c>
    </row>
    <row r="244" spans="4:13">
      <c r="D244" s="365">
        <v>44721</v>
      </c>
      <c r="E244" s="24" t="s">
        <v>297</v>
      </c>
      <c r="F244" s="24" t="s">
        <v>300</v>
      </c>
      <c r="G244" s="57"/>
      <c r="H244" s="57"/>
      <c r="I244" s="24"/>
      <c r="J244" s="383">
        <v>9</v>
      </c>
      <c r="K244" s="383"/>
      <c r="M244" t="s">
        <v>301</v>
      </c>
    </row>
    <row r="245" spans="4:13">
      <c r="D245" s="379">
        <v>44727</v>
      </c>
      <c r="E245" t="s">
        <v>297</v>
      </c>
      <c r="F245" t="s">
        <v>300</v>
      </c>
      <c r="J245" s="385">
        <v>10</v>
      </c>
      <c r="K245" s="385"/>
      <c r="M245" t="s">
        <v>303</v>
      </c>
    </row>
    <row r="246" spans="4:13">
      <c r="D246" s="373">
        <v>44731</v>
      </c>
      <c r="E246" s="25" t="s">
        <v>297</v>
      </c>
      <c r="F246" s="25" t="s">
        <v>302</v>
      </c>
      <c r="G246" s="61"/>
      <c r="H246" s="61"/>
      <c r="I246" s="25"/>
      <c r="J246" s="384">
        <v>47</v>
      </c>
      <c r="K246" s="384"/>
      <c r="M246" t="s">
        <v>304</v>
      </c>
    </row>
    <row r="247" spans="4:13">
      <c r="D247" s="388">
        <v>44746</v>
      </c>
      <c r="E247" s="46" t="s">
        <v>371</v>
      </c>
      <c r="F247" s="46" t="s">
        <v>316</v>
      </c>
      <c r="G247" s="318"/>
      <c r="H247" s="318"/>
      <c r="I247" s="46"/>
      <c r="J247" s="376"/>
      <c r="K247" s="376">
        <v>100</v>
      </c>
      <c r="M247" t="s">
        <v>569</v>
      </c>
    </row>
    <row r="248" spans="4:13">
      <c r="D248" s="379">
        <v>44748</v>
      </c>
      <c r="E248" s="428" t="s">
        <v>247</v>
      </c>
      <c r="F248" t="s">
        <v>339</v>
      </c>
      <c r="H248" s="436">
        <v>4900</v>
      </c>
      <c r="J248" s="385"/>
      <c r="K248" s="385"/>
      <c r="M248" t="s">
        <v>487</v>
      </c>
    </row>
    <row r="249" spans="4:13">
      <c r="D249" s="19"/>
      <c r="E249" s="25"/>
      <c r="F249" s="25"/>
      <c r="G249" s="437">
        <v>1560</v>
      </c>
      <c r="H249" s="61"/>
      <c r="I249" s="25"/>
      <c r="J249" s="384"/>
      <c r="K249" s="384"/>
      <c r="M249" t="s">
        <v>248</v>
      </c>
    </row>
    <row r="250" spans="4:13">
      <c r="D250" s="388">
        <v>44762</v>
      </c>
      <c r="E250" s="724" t="s">
        <v>364</v>
      </c>
      <c r="F250" s="46" t="s">
        <v>316</v>
      </c>
      <c r="G250" s="318"/>
      <c r="H250" s="318"/>
      <c r="I250" s="46"/>
      <c r="J250" s="376"/>
      <c r="K250" s="725">
        <v>109</v>
      </c>
      <c r="M250" t="s">
        <v>573</v>
      </c>
    </row>
    <row r="251" spans="4:13">
      <c r="D251" s="366">
        <v>44767</v>
      </c>
      <c r="E251" s="63" t="s">
        <v>642</v>
      </c>
      <c r="F251" s="63" t="s">
        <v>545</v>
      </c>
      <c r="G251" s="64"/>
      <c r="H251" s="64"/>
      <c r="I251" s="63"/>
      <c r="J251" s="367"/>
      <c r="K251" s="367">
        <v>148</v>
      </c>
      <c r="M251" t="s">
        <v>553</v>
      </c>
    </row>
    <row r="252" spans="4:13">
      <c r="D252" s="388">
        <v>44775</v>
      </c>
      <c r="E252" s="46" t="s">
        <v>1734</v>
      </c>
      <c r="F252" s="397" t="s">
        <v>342</v>
      </c>
      <c r="G252" s="318"/>
      <c r="H252" s="318"/>
      <c r="I252" s="46"/>
      <c r="J252" s="376"/>
      <c r="K252" s="376">
        <v>41.4</v>
      </c>
      <c r="M252" t="s">
        <v>320</v>
      </c>
    </row>
    <row r="253" spans="4:13">
      <c r="D253" s="388">
        <v>44831</v>
      </c>
      <c r="E253" s="607" t="s">
        <v>484</v>
      </c>
      <c r="F253" s="46" t="s">
        <v>483</v>
      </c>
      <c r="G253" s="405">
        <v>548</v>
      </c>
      <c r="H253" s="318"/>
      <c r="I253" s="46"/>
      <c r="J253" s="376"/>
      <c r="K253" s="376"/>
      <c r="M253" t="s">
        <v>317</v>
      </c>
    </row>
    <row r="254" spans="4:13">
      <c r="D254" s="388">
        <v>44847</v>
      </c>
      <c r="E254" s="724" t="s">
        <v>365</v>
      </c>
      <c r="F254" s="46" t="s">
        <v>316</v>
      </c>
      <c r="G254" s="318"/>
      <c r="H254" s="318"/>
      <c r="I254" s="46"/>
      <c r="J254" s="376"/>
      <c r="K254" s="725">
        <v>13.2</v>
      </c>
      <c r="M254" t="s">
        <v>318</v>
      </c>
    </row>
    <row r="255" spans="4:13">
      <c r="D255" s="388">
        <v>44874</v>
      </c>
      <c r="E255" s="46" t="s">
        <v>295</v>
      </c>
      <c r="F255" s="46" t="s">
        <v>316</v>
      </c>
      <c r="G255" s="318"/>
      <c r="H255" s="318"/>
      <c r="I255" s="46"/>
      <c r="J255" s="376"/>
      <c r="K255" s="376">
        <f>9.44*1.25/1.3</f>
        <v>9.0769230769230766</v>
      </c>
      <c r="M255" t="s">
        <v>305</v>
      </c>
    </row>
    <row r="256" spans="4:13">
      <c r="D256" s="388">
        <v>44888</v>
      </c>
      <c r="E256" s="458" t="s">
        <v>671</v>
      </c>
      <c r="F256" s="46" t="s">
        <v>300</v>
      </c>
      <c r="G256" s="318"/>
      <c r="H256" s="318"/>
      <c r="I256" s="46"/>
      <c r="J256" s="376">
        <v>97</v>
      </c>
      <c r="K256" s="376"/>
      <c r="M256" t="s">
        <v>665</v>
      </c>
    </row>
    <row r="257" spans="4:14">
      <c r="D257" s="388">
        <v>44923</v>
      </c>
      <c r="E257" s="208" t="s">
        <v>528</v>
      </c>
      <c r="F257" s="46" t="s">
        <v>184</v>
      </c>
      <c r="G257" s="405">
        <v>1683</v>
      </c>
      <c r="H257" s="318"/>
      <c r="I257" s="46"/>
      <c r="J257" s="376"/>
      <c r="K257" s="376"/>
      <c r="M257" t="s">
        <v>535</v>
      </c>
    </row>
    <row r="258" spans="4:14">
      <c r="D258" s="379" t="s">
        <v>50</v>
      </c>
      <c r="E258" t="s">
        <v>649</v>
      </c>
      <c r="F258" s="154" t="s">
        <v>466</v>
      </c>
      <c r="H258" s="53">
        <v>11</v>
      </c>
      <c r="J258" s="385"/>
      <c r="K258" s="385"/>
      <c r="M258" s="334" t="s">
        <v>313</v>
      </c>
      <c r="N258" s="18"/>
    </row>
    <row r="259" spans="4:14">
      <c r="D259" s="379"/>
      <c r="F259" t="s">
        <v>319</v>
      </c>
      <c r="H259" s="53">
        <v>49</v>
      </c>
      <c r="J259" s="385"/>
      <c r="K259" s="385"/>
      <c r="M259" s="79" t="s">
        <v>547</v>
      </c>
      <c r="N259" s="23"/>
    </row>
    <row r="260" spans="4:14">
      <c r="D260" s="366">
        <v>44925</v>
      </c>
      <c r="E260" s="63" t="s">
        <v>399</v>
      </c>
      <c r="F260" s="63" t="s">
        <v>302</v>
      </c>
      <c r="G260" s="64"/>
      <c r="H260" s="64"/>
      <c r="I260" s="63"/>
      <c r="J260" s="367">
        <f>1.36*153</f>
        <v>208.08</v>
      </c>
      <c r="K260" s="367"/>
      <c r="M260" s="50" t="s">
        <v>398</v>
      </c>
      <c r="N260" s="28"/>
    </row>
    <row r="261" spans="4:14">
      <c r="D261" s="388"/>
      <c r="E261" s="46" t="s">
        <v>379</v>
      </c>
      <c r="F261" s="46" t="s">
        <v>316</v>
      </c>
      <c r="G261" s="318"/>
      <c r="H261" s="318"/>
      <c r="I261" s="46"/>
      <c r="J261" s="376"/>
      <c r="K261" s="376"/>
      <c r="M261" t="s">
        <v>540</v>
      </c>
    </row>
    <row r="262" spans="4:14">
      <c r="D262" s="388"/>
      <c r="E262" s="46" t="s">
        <v>544</v>
      </c>
      <c r="F262" s="46" t="s">
        <v>542</v>
      </c>
      <c r="G262" s="318"/>
      <c r="H262" s="318">
        <v>125</v>
      </c>
      <c r="I262" s="46"/>
      <c r="J262" s="376"/>
      <c r="K262" s="376"/>
      <c r="M262" t="s">
        <v>543</v>
      </c>
    </row>
    <row r="263" spans="4:14">
      <c r="D263" s="388"/>
      <c r="E263" s="46" t="s">
        <v>551</v>
      </c>
      <c r="F263" s="46" t="s">
        <v>342</v>
      </c>
      <c r="G263" s="318"/>
      <c r="H263" s="318"/>
      <c r="I263" s="46"/>
      <c r="J263" s="376"/>
      <c r="K263" s="376">
        <v>50</v>
      </c>
      <c r="M263" t="s">
        <v>552</v>
      </c>
    </row>
    <row r="264" spans="4:14">
      <c r="D264" s="388"/>
      <c r="E264" s="1197" t="s">
        <v>557</v>
      </c>
      <c r="F264" s="46" t="s">
        <v>302</v>
      </c>
      <c r="G264" s="318"/>
      <c r="H264" s="318"/>
      <c r="I264" s="46"/>
      <c r="J264" s="376"/>
      <c r="K264" s="376"/>
      <c r="M264" t="s">
        <v>1610</v>
      </c>
    </row>
    <row r="265" spans="4:14" ht="7" customHeight="1"/>
    <row r="266" spans="4:14" ht="15" customHeight="1">
      <c r="D266" s="14"/>
      <c r="E266" s="194" t="s">
        <v>247</v>
      </c>
      <c r="F266" s="24" t="s">
        <v>532</v>
      </c>
      <c r="G266" s="57"/>
      <c r="H266" s="57">
        <v>587</v>
      </c>
      <c r="I266" s="24"/>
      <c r="J266" s="383"/>
      <c r="K266" s="383"/>
      <c r="M266" t="s">
        <v>534</v>
      </c>
    </row>
    <row r="267" spans="4:14" ht="15" customHeight="1">
      <c r="D267" s="408"/>
      <c r="E267" s="409" t="s">
        <v>426</v>
      </c>
      <c r="F267" s="413"/>
      <c r="G267" s="414"/>
      <c r="H267" s="414"/>
      <c r="I267" s="413"/>
      <c r="J267" s="422"/>
      <c r="K267" s="461">
        <v>417.9</v>
      </c>
      <c r="L267" s="154"/>
      <c r="M267" s="416" t="s">
        <v>744</v>
      </c>
      <c r="N267" s="417"/>
    </row>
    <row r="268" spans="4:14" ht="15" customHeight="1">
      <c r="D268" s="79"/>
      <c r="E268" s="25" t="s">
        <v>406</v>
      </c>
      <c r="F268" s="419"/>
      <c r="G268" s="420"/>
      <c r="H268" s="420"/>
      <c r="I268" s="419"/>
      <c r="J268" s="423"/>
      <c r="K268" s="462">
        <v>71</v>
      </c>
      <c r="L268" s="154"/>
      <c r="M268" s="416" t="s">
        <v>744</v>
      </c>
      <c r="N268" s="417"/>
    </row>
    <row r="269" spans="4:14" ht="15" customHeight="1">
      <c r="D269" s="79"/>
      <c r="E269" s="25" t="s">
        <v>524</v>
      </c>
      <c r="F269" s="419"/>
      <c r="G269" s="420"/>
      <c r="H269" s="420"/>
      <c r="I269" s="419"/>
      <c r="J269" s="423"/>
      <c r="K269" s="421"/>
      <c r="L269" s="154"/>
      <c r="M269" s="154" t="s">
        <v>533</v>
      </c>
      <c r="N269" s="154"/>
    </row>
    <row r="270" spans="4:14" ht="7" customHeight="1"/>
    <row r="271" spans="4:14" ht="15" customHeight="1">
      <c r="F271" s="39" t="s">
        <v>694</v>
      </c>
      <c r="G271" s="390">
        <f>SUM(G231:G269)</f>
        <v>4167</v>
      </c>
      <c r="H271" s="390">
        <f>SUM(H231:H269)</f>
        <v>5672</v>
      </c>
      <c r="I271" s="390"/>
      <c r="J271" s="390">
        <f>SUM(J231:J269)</f>
        <v>371.08000000000004</v>
      </c>
      <c r="K271" s="390">
        <f>SUM(K231:K269)</f>
        <v>2467.8769230769235</v>
      </c>
    </row>
    <row r="272" spans="4:14" ht="15" customHeight="1">
      <c r="F272" s="322"/>
      <c r="G272" s="457"/>
      <c r="H272" s="457"/>
      <c r="I272" s="322"/>
      <c r="J272" s="457"/>
      <c r="K272" s="457"/>
    </row>
    <row r="273" spans="4:13" ht="15" customHeight="1">
      <c r="G273" s="2081" t="s">
        <v>330</v>
      </c>
      <c r="H273" s="2082"/>
      <c r="I273" s="154"/>
      <c r="J273" s="2083" t="s">
        <v>331</v>
      </c>
      <c r="K273" s="2084"/>
    </row>
    <row r="274" spans="4:13">
      <c r="G274" s="391" t="s">
        <v>175</v>
      </c>
      <c r="H274" s="392" t="s">
        <v>340</v>
      </c>
      <c r="I274" s="393"/>
      <c r="J274" s="394" t="s">
        <v>175</v>
      </c>
      <c r="K274" s="395" t="s">
        <v>176</v>
      </c>
      <c r="M274" t="s">
        <v>747</v>
      </c>
    </row>
    <row r="275" spans="4:13">
      <c r="D275" s="39" t="s">
        <v>44</v>
      </c>
      <c r="E275" s="518">
        <v>2018</v>
      </c>
      <c r="F275" s="45" t="s">
        <v>204</v>
      </c>
      <c r="G275" s="637" t="s">
        <v>191</v>
      </c>
      <c r="H275" s="638" t="s">
        <v>192</v>
      </c>
      <c r="I275" s="396"/>
      <c r="J275" s="639" t="s">
        <v>191</v>
      </c>
      <c r="K275" s="640" t="s">
        <v>192</v>
      </c>
      <c r="M275" s="11" t="s">
        <v>48</v>
      </c>
    </row>
    <row r="276" spans="4:13" ht="8" customHeight="1"/>
    <row r="277" spans="4:13">
      <c r="D277" s="388" t="s">
        <v>663</v>
      </c>
      <c r="E277" s="46" t="s">
        <v>1496</v>
      </c>
      <c r="F277" s="46"/>
      <c r="G277" s="318"/>
      <c r="H277" s="318"/>
      <c r="I277" s="46"/>
      <c r="J277" s="376"/>
      <c r="K277" s="376">
        <v>283.2</v>
      </c>
      <c r="M277" t="s">
        <v>1497</v>
      </c>
    </row>
    <row r="278" spans="4:13">
      <c r="D278" s="388">
        <v>44579</v>
      </c>
      <c r="E278" s="46" t="s">
        <v>249</v>
      </c>
      <c r="F278" s="46" t="s">
        <v>339</v>
      </c>
      <c r="G278" s="318"/>
      <c r="H278" s="318">
        <v>6</v>
      </c>
      <c r="I278" s="46"/>
      <c r="J278" s="376"/>
      <c r="K278" s="376"/>
      <c r="M278" t="s">
        <v>250</v>
      </c>
    </row>
    <row r="279" spans="4:13" ht="15" customHeight="1">
      <c r="D279" s="365">
        <v>44606</v>
      </c>
      <c r="E279" s="447" t="s">
        <v>358</v>
      </c>
      <c r="F279" s="24" t="s">
        <v>1037</v>
      </c>
      <c r="G279" s="57"/>
      <c r="H279" s="57"/>
      <c r="I279" s="24"/>
      <c r="J279" s="383"/>
      <c r="K279" s="722">
        <v>250</v>
      </c>
      <c r="M279" t="s">
        <v>1042</v>
      </c>
    </row>
    <row r="280" spans="4:13" ht="15" customHeight="1">
      <c r="D280" s="373"/>
      <c r="E280" s="721" t="s">
        <v>1039</v>
      </c>
      <c r="F280" s="25" t="s">
        <v>217</v>
      </c>
      <c r="G280" s="61"/>
      <c r="H280" s="61"/>
      <c r="I280" s="25"/>
      <c r="J280" s="384"/>
      <c r="K280" s="652"/>
      <c r="M280" t="s">
        <v>1033</v>
      </c>
    </row>
    <row r="281" spans="4:13">
      <c r="D281" s="365">
        <v>44614</v>
      </c>
      <c r="E281" s="24" t="s">
        <v>539</v>
      </c>
      <c r="F281" s="24" t="s">
        <v>537</v>
      </c>
      <c r="G281" s="57"/>
      <c r="H281" s="57"/>
      <c r="I281" s="24"/>
      <c r="J281" s="383">
        <v>8</v>
      </c>
      <c r="K281" s="383"/>
      <c r="M281" t="s">
        <v>251</v>
      </c>
    </row>
    <row r="282" spans="4:13">
      <c r="D282" s="379"/>
      <c r="F282" t="s">
        <v>538</v>
      </c>
      <c r="J282" s="385"/>
      <c r="K282" s="385"/>
      <c r="M282" t="s">
        <v>571</v>
      </c>
    </row>
    <row r="283" spans="4:13">
      <c r="D283" s="365">
        <v>44621</v>
      </c>
      <c r="E283" s="464" t="s">
        <v>672</v>
      </c>
      <c r="F283" s="24" t="s">
        <v>118</v>
      </c>
      <c r="G283" s="57"/>
      <c r="H283" s="57"/>
      <c r="I283" s="24"/>
      <c r="J283" s="383"/>
      <c r="K283" s="383"/>
      <c r="M283" t="s">
        <v>704</v>
      </c>
    </row>
    <row r="284" spans="4:13">
      <c r="D284" s="373"/>
      <c r="E284" s="25"/>
      <c r="F284" s="25"/>
      <c r="G284" s="61"/>
      <c r="H284" s="61"/>
      <c r="I284" s="25"/>
      <c r="J284" s="384"/>
      <c r="K284" s="384"/>
      <c r="M284" t="s">
        <v>703</v>
      </c>
    </row>
    <row r="285" spans="4:13">
      <c r="D285" s="399">
        <v>44627</v>
      </c>
      <c r="E285" s="56" t="s">
        <v>583</v>
      </c>
      <c r="F285" s="400" t="s">
        <v>660</v>
      </c>
      <c r="G285" s="401"/>
      <c r="H285" s="401"/>
      <c r="I285" s="56"/>
      <c r="J285" s="378"/>
      <c r="K285" s="378"/>
      <c r="M285" t="s">
        <v>570</v>
      </c>
    </row>
    <row r="286" spans="4:13">
      <c r="D286" s="398">
        <v>44629</v>
      </c>
      <c r="E286" s="116" t="s">
        <v>379</v>
      </c>
      <c r="F286" s="116" t="s">
        <v>120</v>
      </c>
      <c r="G286" s="335"/>
      <c r="H286" s="335"/>
      <c r="I286" s="116"/>
      <c r="J286" s="377"/>
      <c r="K286" s="377"/>
      <c r="M286" t="s">
        <v>252</v>
      </c>
    </row>
    <row r="287" spans="4:13">
      <c r="D287" s="404">
        <v>44663</v>
      </c>
      <c r="E287" s="69" t="s">
        <v>661</v>
      </c>
      <c r="F287" s="69" t="s">
        <v>545</v>
      </c>
      <c r="G287" s="333"/>
      <c r="H287" s="333"/>
      <c r="I287" s="69"/>
      <c r="J287" s="375"/>
      <c r="K287" s="375"/>
    </row>
    <row r="288" spans="4:13">
      <c r="D288" s="399">
        <v>44712</v>
      </c>
      <c r="E288" s="56" t="s">
        <v>643</v>
      </c>
      <c r="F288" s="400" t="s">
        <v>531</v>
      </c>
      <c r="G288" s="401"/>
      <c r="H288" s="401"/>
      <c r="I288" s="56"/>
      <c r="J288" s="378"/>
      <c r="K288" s="378">
        <f>41.1+193.7</f>
        <v>234.79999999999998</v>
      </c>
      <c r="M288" t="s">
        <v>49</v>
      </c>
    </row>
    <row r="289" spans="4:14">
      <c r="D289" s="388">
        <v>44730</v>
      </c>
      <c r="E289" s="46" t="s">
        <v>243</v>
      </c>
      <c r="F289" s="46" t="s">
        <v>244</v>
      </c>
      <c r="G289" s="318"/>
      <c r="H289" s="318"/>
      <c r="I289" s="46"/>
      <c r="J289" s="376"/>
      <c r="K289" s="376">
        <v>150.69999999999999</v>
      </c>
      <c r="M289" t="s">
        <v>253</v>
      </c>
    </row>
    <row r="290" spans="4:14">
      <c r="D290" s="398">
        <v>44747</v>
      </c>
      <c r="E290" s="482" t="s">
        <v>793</v>
      </c>
      <c r="F290" s="116" t="s">
        <v>316</v>
      </c>
      <c r="G290" s="335"/>
      <c r="H290" s="335">
        <v>252</v>
      </c>
      <c r="I290" s="116"/>
      <c r="J290" s="377"/>
      <c r="K290" s="377"/>
      <c r="M290" t="s">
        <v>254</v>
      </c>
    </row>
    <row r="291" spans="4:14">
      <c r="D291" s="365">
        <v>44758</v>
      </c>
      <c r="E291" s="447" t="s">
        <v>357</v>
      </c>
      <c r="F291" s="24" t="s">
        <v>1038</v>
      </c>
      <c r="G291" s="57"/>
      <c r="H291" s="57"/>
      <c r="I291" s="24"/>
      <c r="J291" s="383"/>
      <c r="K291" s="448">
        <v>250</v>
      </c>
      <c r="M291" t="s">
        <v>1035</v>
      </c>
    </row>
    <row r="292" spans="4:14">
      <c r="D292" s="373"/>
      <c r="E292" s="721"/>
      <c r="F292" s="25" t="s">
        <v>1034</v>
      </c>
      <c r="G292" s="61"/>
      <c r="H292" s="61"/>
      <c r="I292" s="25"/>
      <c r="J292" s="384"/>
      <c r="K292" s="449"/>
      <c r="M292" t="s">
        <v>1036</v>
      </c>
    </row>
    <row r="293" spans="4:14">
      <c r="D293" s="399">
        <v>44804</v>
      </c>
      <c r="E293" s="56" t="s">
        <v>255</v>
      </c>
      <c r="F293" s="56" t="s">
        <v>237</v>
      </c>
      <c r="G293" s="401"/>
      <c r="H293" s="401"/>
      <c r="I293" s="56"/>
      <c r="J293" s="378"/>
      <c r="K293" s="378"/>
      <c r="M293" t="s">
        <v>256</v>
      </c>
    </row>
    <row r="294" spans="4:14">
      <c r="D294" s="399">
        <v>45566</v>
      </c>
      <c r="E294" s="46" t="s">
        <v>1450</v>
      </c>
      <c r="F294" s="56" t="s">
        <v>302</v>
      </c>
      <c r="G294" s="401">
        <f>86*1.18</f>
        <v>101.47999999999999</v>
      </c>
      <c r="H294" s="401"/>
      <c r="I294" s="56"/>
      <c r="J294" s="378"/>
      <c r="K294" s="378"/>
      <c r="M294" s="1275" t="s">
        <v>1451</v>
      </c>
    </row>
    <row r="295" spans="4:14">
      <c r="D295" s="388">
        <v>44884</v>
      </c>
      <c r="E295" s="46" t="s">
        <v>680</v>
      </c>
      <c r="F295" s="397" t="s">
        <v>342</v>
      </c>
      <c r="G295" s="318"/>
      <c r="H295" s="318"/>
      <c r="I295" s="46"/>
      <c r="J295" s="376"/>
      <c r="K295" s="376">
        <f>12.2*20.5*0.7717</f>
        <v>193.00217000000001</v>
      </c>
      <c r="M295" t="s">
        <v>745</v>
      </c>
    </row>
    <row r="296" spans="4:14">
      <c r="D296" s="45"/>
      <c r="E296" s="610" t="s">
        <v>372</v>
      </c>
      <c r="F296" s="46" t="s">
        <v>316</v>
      </c>
      <c r="G296" s="318"/>
      <c r="H296" s="318"/>
      <c r="I296" s="46"/>
      <c r="J296" s="376"/>
      <c r="K296" s="376"/>
      <c r="M296" t="s">
        <v>373</v>
      </c>
    </row>
    <row r="297" spans="4:14">
      <c r="D297" s="45"/>
      <c r="E297" s="46" t="s">
        <v>591</v>
      </c>
      <c r="F297" s="46" t="s">
        <v>302</v>
      </c>
      <c r="G297" s="318"/>
      <c r="H297" s="318"/>
      <c r="I297" s="46"/>
      <c r="J297" s="376">
        <v>179.2</v>
      </c>
      <c r="K297" s="376"/>
      <c r="M297" t="s">
        <v>702</v>
      </c>
    </row>
    <row r="298" spans="4:14" ht="7" customHeight="1">
      <c r="D298" s="339"/>
      <c r="J298" s="385"/>
      <c r="K298" s="385"/>
    </row>
    <row r="299" spans="4:14">
      <c r="D299" s="408"/>
      <c r="E299" s="409" t="s">
        <v>426</v>
      </c>
      <c r="F299" s="413"/>
      <c r="G299" s="414"/>
      <c r="H299" s="414"/>
      <c r="I299" s="413"/>
      <c r="J299" s="422"/>
      <c r="K299" s="461">
        <v>38</v>
      </c>
      <c r="L299" s="154"/>
      <c r="M299" s="416" t="s">
        <v>744</v>
      </c>
      <c r="N299" s="417"/>
    </row>
    <row r="300" spans="4:14">
      <c r="D300" s="79"/>
      <c r="E300" s="25" t="s">
        <v>406</v>
      </c>
      <c r="F300" s="419"/>
      <c r="G300" s="420"/>
      <c r="H300" s="420"/>
      <c r="I300" s="419"/>
      <c r="J300" s="423"/>
      <c r="K300" s="421"/>
      <c r="L300" s="154"/>
      <c r="M300" s="416"/>
      <c r="N300" s="417"/>
    </row>
    <row r="301" spans="4:14" ht="7" customHeight="1">
      <c r="D301" s="339"/>
      <c r="J301" s="385"/>
      <c r="K301" s="385"/>
    </row>
    <row r="302" spans="4:14">
      <c r="D302" s="339"/>
      <c r="F302" s="39" t="s">
        <v>695</v>
      </c>
      <c r="G302" s="390">
        <f>SUM(G277:G300)</f>
        <v>101.47999999999999</v>
      </c>
      <c r="H302" s="390">
        <f>SUM(H277:H300)</f>
        <v>258</v>
      </c>
      <c r="I302" s="389"/>
      <c r="J302" s="390">
        <f>SUM(J277:J300)</f>
        <v>187.2</v>
      </c>
      <c r="K302" s="390">
        <f>SUM(K277:K300)</f>
        <v>1399.70217</v>
      </c>
    </row>
    <row r="303" spans="4:14">
      <c r="D303" s="339"/>
      <c r="F303" s="322"/>
      <c r="G303" s="457"/>
      <c r="H303" s="457"/>
      <c r="I303" s="322"/>
      <c r="J303" s="457"/>
      <c r="K303" s="457"/>
    </row>
    <row r="304" spans="4:14" ht="15" customHeight="1">
      <c r="G304" s="2081" t="s">
        <v>330</v>
      </c>
      <c r="H304" s="2082"/>
      <c r="I304" s="154"/>
      <c r="J304" s="2083" t="s">
        <v>331</v>
      </c>
      <c r="K304" s="2084"/>
    </row>
    <row r="305" spans="4:13">
      <c r="G305" s="391" t="s">
        <v>175</v>
      </c>
      <c r="H305" s="392" t="s">
        <v>340</v>
      </c>
      <c r="I305" s="393"/>
      <c r="J305" s="394" t="s">
        <v>175</v>
      </c>
      <c r="K305" s="395" t="s">
        <v>176</v>
      </c>
      <c r="M305" t="s">
        <v>746</v>
      </c>
    </row>
    <row r="306" spans="4:13">
      <c r="D306" s="39" t="s">
        <v>44</v>
      </c>
      <c r="E306" s="518">
        <v>2019</v>
      </c>
      <c r="F306" s="45" t="s">
        <v>204</v>
      </c>
      <c r="G306" s="637" t="s">
        <v>191</v>
      </c>
      <c r="H306" s="638" t="s">
        <v>192</v>
      </c>
      <c r="I306" s="396"/>
      <c r="J306" s="639" t="s">
        <v>191</v>
      </c>
      <c r="K306" s="640" t="s">
        <v>192</v>
      </c>
      <c r="M306" s="11" t="s">
        <v>48</v>
      </c>
    </row>
    <row r="307" spans="4:13" ht="6" customHeight="1"/>
    <row r="308" spans="4:13">
      <c r="D308" s="388" t="s">
        <v>663</v>
      </c>
      <c r="E308" s="46" t="s">
        <v>1496</v>
      </c>
      <c r="F308" s="46"/>
      <c r="G308" s="318"/>
      <c r="H308" s="318"/>
      <c r="I308" s="46"/>
      <c r="J308" s="376"/>
      <c r="K308" s="376">
        <v>278</v>
      </c>
      <c r="M308" t="s">
        <v>1497</v>
      </c>
    </row>
    <row r="309" spans="4:13" ht="15" customHeight="1">
      <c r="D309" s="365">
        <v>44576</v>
      </c>
      <c r="E309" s="447" t="s">
        <v>359</v>
      </c>
      <c r="F309" s="24" t="s">
        <v>1037</v>
      </c>
      <c r="G309" s="57"/>
      <c r="H309" s="57"/>
      <c r="I309" s="24"/>
      <c r="J309" s="383"/>
      <c r="K309" s="448">
        <v>250</v>
      </c>
      <c r="M309" t="s">
        <v>1043</v>
      </c>
    </row>
    <row r="310" spans="4:13" ht="15" customHeight="1">
      <c r="D310" s="373"/>
      <c r="E310" s="721" t="s">
        <v>1040</v>
      </c>
      <c r="F310" s="25" t="s">
        <v>356</v>
      </c>
      <c r="G310" s="61"/>
      <c r="H310" s="61"/>
      <c r="I310" s="25"/>
      <c r="J310" s="384"/>
      <c r="K310" s="449">
        <v>250</v>
      </c>
      <c r="M310" t="s">
        <v>575</v>
      </c>
    </row>
    <row r="311" spans="4:13">
      <c r="D311" s="399">
        <v>44606</v>
      </c>
      <c r="E311" s="56" t="s">
        <v>235</v>
      </c>
      <c r="F311" s="400" t="s">
        <v>339</v>
      </c>
      <c r="G311" s="401"/>
      <c r="H311" s="401">
        <v>17</v>
      </c>
      <c r="I311" s="56"/>
      <c r="J311" s="378"/>
      <c r="K311" s="378"/>
    </row>
    <row r="312" spans="4:13">
      <c r="D312" s="388">
        <v>44668</v>
      </c>
      <c r="E312" s="46" t="s">
        <v>592</v>
      </c>
      <c r="F312" s="46" t="s">
        <v>185</v>
      </c>
      <c r="G312" s="318"/>
      <c r="H312" s="318"/>
      <c r="I312" s="46"/>
      <c r="J312" s="376"/>
      <c r="K312" s="376">
        <v>227</v>
      </c>
      <c r="M312" t="s">
        <v>236</v>
      </c>
    </row>
    <row r="313" spans="4:13">
      <c r="D313" s="398">
        <v>44669</v>
      </c>
      <c r="E313" s="616" t="s">
        <v>940</v>
      </c>
      <c r="F313" s="116" t="s">
        <v>701</v>
      </c>
      <c r="G313" s="335"/>
      <c r="H313" s="335"/>
      <c r="I313" s="116"/>
      <c r="J313" s="377"/>
      <c r="K313" s="377"/>
      <c r="M313" t="s">
        <v>700</v>
      </c>
    </row>
    <row r="314" spans="4:13">
      <c r="D314" s="398">
        <v>44698</v>
      </c>
      <c r="E314" s="446" t="s">
        <v>375</v>
      </c>
      <c r="F314" s="116" t="s">
        <v>237</v>
      </c>
      <c r="G314" s="335"/>
      <c r="H314" s="335"/>
      <c r="I314" s="116"/>
      <c r="J314" s="377"/>
      <c r="K314" s="377"/>
      <c r="M314" t="s">
        <v>238</v>
      </c>
    </row>
    <row r="315" spans="4:13">
      <c r="D315" s="365">
        <v>44740</v>
      </c>
      <c r="E315" s="24" t="s">
        <v>769</v>
      </c>
      <c r="F315" s="24" t="s">
        <v>350</v>
      </c>
      <c r="G315" s="57"/>
      <c r="H315" s="57"/>
      <c r="I315" s="24"/>
      <c r="J315" s="383"/>
      <c r="K315" s="383"/>
      <c r="M315" t="s">
        <v>698</v>
      </c>
    </row>
    <row r="316" spans="4:13">
      <c r="D316" s="373"/>
      <c r="E316" s="25"/>
      <c r="F316" s="25"/>
      <c r="G316" s="61"/>
      <c r="H316" s="61"/>
      <c r="I316" s="25"/>
      <c r="J316" s="384"/>
      <c r="K316" s="384"/>
      <c r="M316" t="s">
        <v>697</v>
      </c>
    </row>
    <row r="317" spans="4:13">
      <c r="D317" s="399">
        <v>44774</v>
      </c>
      <c r="E317" s="463" t="s">
        <v>673</v>
      </c>
      <c r="F317" s="56" t="s">
        <v>307</v>
      </c>
      <c r="G317" s="401"/>
      <c r="H317" s="401"/>
      <c r="I317" s="56"/>
      <c r="J317" s="378"/>
      <c r="K317" s="378"/>
      <c r="M317" t="s">
        <v>306</v>
      </c>
    </row>
    <row r="318" spans="4:13">
      <c r="D318" s="388">
        <v>44780</v>
      </c>
      <c r="E318" s="46" t="s">
        <v>294</v>
      </c>
      <c r="F318" s="46" t="s">
        <v>302</v>
      </c>
      <c r="G318" s="318"/>
      <c r="H318" s="318"/>
      <c r="I318" s="46"/>
      <c r="J318" s="376"/>
      <c r="K318" s="376">
        <f>7.392*3*0.7538</f>
        <v>16.716268800000002</v>
      </c>
      <c r="M318" t="s">
        <v>308</v>
      </c>
    </row>
    <row r="319" spans="4:13">
      <c r="D319" s="388" t="s">
        <v>1611</v>
      </c>
      <c r="E319" s="607" t="s">
        <v>668</v>
      </c>
      <c r="F319" s="46" t="s">
        <v>302</v>
      </c>
      <c r="G319" s="318">
        <v>729</v>
      </c>
      <c r="H319" s="318"/>
      <c r="I319" s="46"/>
      <c r="J319" s="376"/>
      <c r="K319" s="376"/>
      <c r="M319" t="s">
        <v>1612</v>
      </c>
    </row>
    <row r="320" spans="4:13">
      <c r="D320" s="388">
        <v>44870</v>
      </c>
      <c r="E320" s="46" t="s">
        <v>644</v>
      </c>
      <c r="F320" s="397" t="s">
        <v>339</v>
      </c>
      <c r="G320" s="318"/>
      <c r="H320" s="318">
        <v>5</v>
      </c>
      <c r="I320" s="46"/>
      <c r="J320" s="376"/>
      <c r="K320" s="376"/>
      <c r="M320" t="s">
        <v>239</v>
      </c>
    </row>
    <row r="321" spans="4:13">
      <c r="D321" s="388">
        <v>44879</v>
      </c>
      <c r="E321" s="46" t="s">
        <v>149</v>
      </c>
      <c r="F321" s="397" t="s">
        <v>811</v>
      </c>
      <c r="G321" s="318"/>
      <c r="H321" s="318"/>
      <c r="I321" s="46"/>
      <c r="J321" s="376"/>
      <c r="K321" s="376">
        <f>18*0.7538</f>
        <v>13.5684</v>
      </c>
      <c r="M321" t="s">
        <v>812</v>
      </c>
    </row>
    <row r="322" spans="4:13">
      <c r="D322" s="365">
        <v>44884</v>
      </c>
      <c r="E322" s="726" t="s">
        <v>376</v>
      </c>
      <c r="F322" s="116" t="s">
        <v>678</v>
      </c>
      <c r="G322" s="57"/>
      <c r="H322" s="57"/>
      <c r="I322" s="24"/>
      <c r="J322" s="727">
        <v>254</v>
      </c>
      <c r="K322" s="383"/>
      <c r="M322" t="s">
        <v>1041</v>
      </c>
    </row>
    <row r="323" spans="4:13">
      <c r="D323" s="373"/>
      <c r="E323" s="452" t="s">
        <v>576</v>
      </c>
      <c r="F323" s="25"/>
      <c r="G323" s="61"/>
      <c r="H323" s="61"/>
      <c r="I323" s="25"/>
      <c r="J323" s="384"/>
      <c r="K323" s="449"/>
      <c r="M323" t="s">
        <v>360</v>
      </c>
    </row>
    <row r="324" spans="4:13">
      <c r="D324" s="388" t="s">
        <v>50</v>
      </c>
      <c r="E324" s="458" t="s">
        <v>674</v>
      </c>
      <c r="F324" s="46" t="s">
        <v>666</v>
      </c>
      <c r="G324" s="318"/>
      <c r="H324" s="318"/>
      <c r="I324" s="46"/>
      <c r="J324" s="376"/>
      <c r="K324" s="376"/>
      <c r="M324" t="s">
        <v>667</v>
      </c>
    </row>
    <row r="325" spans="4:13">
      <c r="D325" s="339" t="s">
        <v>50</v>
      </c>
      <c r="E325" s="606" t="s">
        <v>9</v>
      </c>
      <c r="F325" s="73" t="s">
        <v>904</v>
      </c>
      <c r="M325" t="s">
        <v>905</v>
      </c>
    </row>
    <row r="326" spans="4:13">
      <c r="D326" s="388"/>
      <c r="E326" s="46" t="s">
        <v>681</v>
      </c>
      <c r="F326" s="46" t="s">
        <v>316</v>
      </c>
      <c r="G326" s="318"/>
      <c r="H326" s="318"/>
      <c r="I326" s="46"/>
      <c r="J326" s="376"/>
      <c r="K326" s="376"/>
      <c r="M326" t="s">
        <v>679</v>
      </c>
    </row>
    <row r="327" spans="4:13">
      <c r="D327" s="388"/>
      <c r="E327" s="46" t="s">
        <v>684</v>
      </c>
      <c r="F327" s="46" t="s">
        <v>685</v>
      </c>
      <c r="G327" s="318"/>
      <c r="H327" s="318"/>
      <c r="I327" s="46"/>
      <c r="J327" s="376"/>
      <c r="K327" s="376"/>
      <c r="M327" t="s">
        <v>686</v>
      </c>
    </row>
    <row r="328" spans="4:13" ht="8" customHeight="1">
      <c r="D328" s="339"/>
    </row>
    <row r="329" spans="4:13">
      <c r="D329" s="408"/>
      <c r="E329" s="409" t="s">
        <v>426</v>
      </c>
      <c r="F329" s="413"/>
      <c r="G329" s="414"/>
      <c r="H329" s="414"/>
      <c r="I329" s="413"/>
      <c r="J329" s="422"/>
      <c r="K329" s="461">
        <v>57.8</v>
      </c>
      <c r="M329" t="s">
        <v>744</v>
      </c>
    </row>
    <row r="330" spans="4:13">
      <c r="D330" s="79"/>
      <c r="E330" s="25" t="s">
        <v>406</v>
      </c>
      <c r="F330" s="419"/>
      <c r="G330" s="420"/>
      <c r="H330" s="420"/>
      <c r="I330" s="419"/>
      <c r="J330" s="423"/>
      <c r="K330" s="421"/>
    </row>
    <row r="331" spans="4:13" ht="7" customHeight="1">
      <c r="D331" s="339"/>
      <c r="J331" s="385"/>
      <c r="K331" s="385"/>
    </row>
    <row r="332" spans="4:13">
      <c r="D332" s="339"/>
      <c r="F332" s="39" t="s">
        <v>696</v>
      </c>
      <c r="G332" s="390">
        <f>SUM(G308:G331)</f>
        <v>729</v>
      </c>
      <c r="H332" s="390">
        <f>SUM(H308:H331)</f>
        <v>22</v>
      </c>
      <c r="I332" s="389"/>
      <c r="J332" s="390">
        <f>SUM(J308:J331)</f>
        <v>254</v>
      </c>
      <c r="K332" s="390">
        <f>SUM(K308:K331)</f>
        <v>1093.0846687999999</v>
      </c>
    </row>
    <row r="333" spans="4:13">
      <c r="D333" s="339"/>
    </row>
    <row r="334" spans="4:13" ht="15" customHeight="1">
      <c r="G334" s="2081" t="s">
        <v>330</v>
      </c>
      <c r="H334" s="2082"/>
      <c r="I334" s="154"/>
      <c r="J334" s="2083" t="s">
        <v>331</v>
      </c>
      <c r="K334" s="2084"/>
    </row>
    <row r="335" spans="4:13">
      <c r="G335" s="391" t="s">
        <v>175</v>
      </c>
      <c r="H335" s="392" t="s">
        <v>340</v>
      </c>
      <c r="I335" s="393"/>
      <c r="J335" s="394" t="s">
        <v>175</v>
      </c>
      <c r="K335" s="395" t="s">
        <v>176</v>
      </c>
      <c r="M335" t="s">
        <v>980</v>
      </c>
    </row>
    <row r="336" spans="4:13">
      <c r="D336" s="39" t="s">
        <v>44</v>
      </c>
      <c r="E336" s="518">
        <v>2020</v>
      </c>
      <c r="F336" s="45" t="s">
        <v>204</v>
      </c>
      <c r="G336" s="637" t="s">
        <v>191</v>
      </c>
      <c r="H336" s="638" t="s">
        <v>192</v>
      </c>
      <c r="I336" s="396"/>
      <c r="J336" s="639" t="s">
        <v>191</v>
      </c>
      <c r="K336" s="640" t="s">
        <v>192</v>
      </c>
      <c r="M336" s="11" t="s">
        <v>48</v>
      </c>
    </row>
    <row r="337" spans="4:14" ht="6" customHeight="1"/>
    <row r="338" spans="4:14">
      <c r="D338" s="388" t="s">
        <v>663</v>
      </c>
      <c r="E338" s="46" t="s">
        <v>1496</v>
      </c>
      <c r="F338" s="46"/>
      <c r="G338" s="318"/>
      <c r="H338" s="318"/>
      <c r="I338" s="46"/>
      <c r="J338" s="376"/>
      <c r="K338" s="376">
        <v>275.7</v>
      </c>
      <c r="M338" t="s">
        <v>1497</v>
      </c>
    </row>
    <row r="339" spans="4:14" ht="15" customHeight="1">
      <c r="D339" s="14" t="s">
        <v>663</v>
      </c>
      <c r="E339" s="24" t="s">
        <v>59</v>
      </c>
      <c r="F339" s="24" t="s">
        <v>119</v>
      </c>
      <c r="G339" s="57"/>
      <c r="H339" s="57"/>
      <c r="I339" s="24"/>
      <c r="J339" s="383"/>
      <c r="K339" s="383"/>
      <c r="M339" t="s">
        <v>664</v>
      </c>
    </row>
    <row r="340" spans="4:14" ht="15" customHeight="1">
      <c r="D340" s="19"/>
      <c r="E340" s="25"/>
      <c r="F340" s="25"/>
      <c r="G340" s="61"/>
      <c r="H340" s="61"/>
      <c r="I340" s="25"/>
      <c r="J340" s="384"/>
      <c r="K340" s="384"/>
      <c r="M340" t="s">
        <v>705</v>
      </c>
    </row>
    <row r="341" spans="4:14" ht="15" customHeight="1">
      <c r="D341" s="388">
        <v>44570</v>
      </c>
      <c r="E341" s="1389" t="s">
        <v>1601</v>
      </c>
      <c r="F341" s="46" t="s">
        <v>342</v>
      </c>
      <c r="G341" s="318"/>
      <c r="H341" s="318"/>
      <c r="I341" s="46"/>
      <c r="J341" s="376"/>
      <c r="K341" s="376">
        <v>125</v>
      </c>
      <c r="M341" s="465" t="s">
        <v>754</v>
      </c>
    </row>
    <row r="342" spans="4:14" ht="15" customHeight="1">
      <c r="D342" s="45" t="s">
        <v>163</v>
      </c>
      <c r="E342" s="46" t="s">
        <v>100</v>
      </c>
      <c r="F342" s="46"/>
      <c r="G342" s="318"/>
      <c r="H342" s="318"/>
      <c r="I342" s="46"/>
      <c r="J342" s="376"/>
      <c r="K342" s="376"/>
      <c r="M342" t="s">
        <v>478</v>
      </c>
    </row>
    <row r="343" spans="4:14" ht="15" customHeight="1">
      <c r="D343" s="26" t="s">
        <v>577</v>
      </c>
      <c r="E343" s="451" t="s">
        <v>362</v>
      </c>
      <c r="F343" s="63" t="s">
        <v>349</v>
      </c>
      <c r="G343" s="64"/>
      <c r="H343" s="64"/>
      <c r="I343" s="63"/>
      <c r="J343" s="367"/>
      <c r="K343" s="453">
        <v>100</v>
      </c>
      <c r="M343" t="s">
        <v>581</v>
      </c>
    </row>
    <row r="344" spans="4:14" ht="15" customHeight="1">
      <c r="D344" s="366">
        <v>44651</v>
      </c>
      <c r="E344" s="63" t="s">
        <v>645</v>
      </c>
      <c r="F344" s="63" t="s">
        <v>342</v>
      </c>
      <c r="G344" s="64"/>
      <c r="H344" s="64"/>
      <c r="I344" s="63"/>
      <c r="J344" s="367"/>
      <c r="K344" s="367">
        <f>1.59933*15</f>
        <v>23.98995</v>
      </c>
      <c r="M344" s="50" t="s">
        <v>395</v>
      </c>
      <c r="N344" s="28"/>
    </row>
    <row r="345" spans="4:14">
      <c r="D345" s="399">
        <v>44651</v>
      </c>
      <c r="E345" s="56" t="s">
        <v>240</v>
      </c>
      <c r="F345" s="56" t="s">
        <v>677</v>
      </c>
      <c r="G345" s="401">
        <v>600</v>
      </c>
      <c r="H345" s="401"/>
      <c r="I345" s="56"/>
      <c r="J345" s="378"/>
      <c r="K345" s="378"/>
      <c r="M345" t="s">
        <v>646</v>
      </c>
    </row>
    <row r="346" spans="4:14">
      <c r="D346" s="404">
        <v>44694</v>
      </c>
      <c r="E346" s="483" t="s">
        <v>715</v>
      </c>
      <c r="F346" s="69" t="s">
        <v>711</v>
      </c>
      <c r="G346" s="333"/>
      <c r="H346" s="333"/>
      <c r="I346" s="69"/>
      <c r="J346" s="375"/>
      <c r="K346" s="375"/>
      <c r="M346" t="s">
        <v>712</v>
      </c>
    </row>
    <row r="347" spans="4:14">
      <c r="D347" s="388">
        <v>44695</v>
      </c>
      <c r="E347" s="46" t="s">
        <v>6</v>
      </c>
      <c r="F347" s="46" t="s">
        <v>802</v>
      </c>
      <c r="G347" s="318"/>
      <c r="H347" s="318"/>
      <c r="I347" s="46"/>
      <c r="J347" s="376"/>
      <c r="K347" s="376">
        <v>2000</v>
      </c>
      <c r="M347" t="s">
        <v>803</v>
      </c>
    </row>
    <row r="348" spans="4:14">
      <c r="D348" s="398">
        <v>45072</v>
      </c>
      <c r="E348" s="116" t="s">
        <v>295</v>
      </c>
      <c r="F348" s="116" t="s">
        <v>302</v>
      </c>
      <c r="G348" s="335"/>
      <c r="H348" s="335"/>
      <c r="I348" s="116"/>
      <c r="J348" s="377">
        <f>18*0.7462</f>
        <v>13.4316</v>
      </c>
      <c r="K348" s="377"/>
      <c r="M348" t="s">
        <v>983</v>
      </c>
    </row>
    <row r="349" spans="4:14">
      <c r="D349" s="398">
        <v>44710</v>
      </c>
      <c r="E349" s="116" t="s">
        <v>709</v>
      </c>
      <c r="F349" s="116" t="s">
        <v>241</v>
      </c>
      <c r="G349" s="335"/>
      <c r="H349" s="335"/>
      <c r="I349" s="116"/>
      <c r="J349" s="377"/>
      <c r="K349" s="377"/>
      <c r="M349" t="s">
        <v>710</v>
      </c>
    </row>
    <row r="350" spans="4:14">
      <c r="D350" s="398">
        <v>44727</v>
      </c>
      <c r="E350" s="116" t="s">
        <v>117</v>
      </c>
      <c r="F350" s="116" t="s">
        <v>316</v>
      </c>
      <c r="G350" s="335"/>
      <c r="H350" s="335"/>
      <c r="I350" s="116"/>
      <c r="J350" s="377"/>
      <c r="K350" s="377"/>
      <c r="M350" t="s">
        <v>799</v>
      </c>
    </row>
    <row r="351" spans="4:14">
      <c r="D351" s="398">
        <v>44728</v>
      </c>
      <c r="E351" s="485" t="s">
        <v>43</v>
      </c>
      <c r="F351" s="116" t="s">
        <v>805</v>
      </c>
      <c r="G351" s="335"/>
      <c r="H351" s="335"/>
      <c r="I351" s="116"/>
      <c r="J351" s="377"/>
      <c r="K351" s="377"/>
      <c r="M351" t="s">
        <v>804</v>
      </c>
    </row>
    <row r="352" spans="4:14">
      <c r="D352" s="388" t="s">
        <v>755</v>
      </c>
      <c r="E352" s="46" t="s">
        <v>2</v>
      </c>
      <c r="F352" s="46" t="s">
        <v>756</v>
      </c>
      <c r="G352" s="318"/>
      <c r="H352" s="318"/>
      <c r="I352" s="46"/>
      <c r="J352" s="376"/>
      <c r="K352" s="376"/>
      <c r="M352" s="466" t="s">
        <v>757</v>
      </c>
    </row>
    <row r="353" spans="4:14">
      <c r="D353" s="365">
        <v>44779</v>
      </c>
      <c r="E353" s="24" t="s">
        <v>798</v>
      </c>
      <c r="F353" s="24" t="s">
        <v>796</v>
      </c>
      <c r="G353" s="57"/>
      <c r="H353" s="57"/>
      <c r="I353" s="24"/>
      <c r="J353" s="383"/>
      <c r="K353" s="383"/>
      <c r="M353" s="154" t="s">
        <v>797</v>
      </c>
    </row>
    <row r="354" spans="4:14">
      <c r="D354" s="365">
        <v>44806</v>
      </c>
      <c r="E354" s="1195" t="s">
        <v>656</v>
      </c>
      <c r="F354" s="24" t="s">
        <v>658</v>
      </c>
      <c r="G354" s="57"/>
      <c r="H354" s="57"/>
      <c r="I354" s="24"/>
      <c r="J354" s="383">
        <v>500</v>
      </c>
      <c r="K354" s="383"/>
      <c r="M354" t="s">
        <v>657</v>
      </c>
    </row>
    <row r="355" spans="4:14">
      <c r="D355" s="373"/>
      <c r="E355" s="25"/>
      <c r="F355" s="25" t="s">
        <v>654</v>
      </c>
      <c r="G355" s="61"/>
      <c r="H355" s="61"/>
      <c r="I355" s="25"/>
      <c r="J355" s="384"/>
      <c r="K355" s="384">
        <v>365</v>
      </c>
      <c r="M355" t="s">
        <v>655</v>
      </c>
    </row>
    <row r="356" spans="4:14">
      <c r="D356" s="373">
        <v>44821</v>
      </c>
      <c r="E356" s="25" t="s">
        <v>716</v>
      </c>
      <c r="F356" s="25" t="s">
        <v>119</v>
      </c>
      <c r="G356" s="61"/>
      <c r="H356" s="61">
        <v>100</v>
      </c>
      <c r="I356" s="25"/>
      <c r="J356" s="384"/>
      <c r="K356" s="384"/>
      <c r="M356" t="s">
        <v>714</v>
      </c>
    </row>
    <row r="357" spans="4:14">
      <c r="D357" s="373">
        <v>44834</v>
      </c>
      <c r="E357" s="25" t="s">
        <v>389</v>
      </c>
      <c r="F357" s="25" t="s">
        <v>342</v>
      </c>
      <c r="G357" s="61"/>
      <c r="H357" s="61"/>
      <c r="I357" s="25"/>
      <c r="J357" s="384"/>
      <c r="K357" s="384">
        <f>2.359*10.1</f>
        <v>23.825900000000001</v>
      </c>
      <c r="M357" s="50" t="s">
        <v>396</v>
      </c>
      <c r="N357" s="28"/>
    </row>
    <row r="358" spans="4:14">
      <c r="D358" s="373" t="s">
        <v>160</v>
      </c>
      <c r="E358" s="25" t="s">
        <v>732</v>
      </c>
      <c r="F358" s="25" t="s">
        <v>302</v>
      </c>
      <c r="G358" s="61"/>
      <c r="H358" s="61"/>
      <c r="I358" s="25"/>
      <c r="J358" s="384">
        <v>59</v>
      </c>
      <c r="K358" s="384"/>
      <c r="M358" t="s">
        <v>734</v>
      </c>
    </row>
    <row r="359" spans="4:14">
      <c r="D359" s="45" t="s">
        <v>726</v>
      </c>
      <c r="E359" s="46" t="s">
        <v>675</v>
      </c>
      <c r="F359" s="46"/>
      <c r="G359" s="318"/>
      <c r="H359" s="318"/>
      <c r="I359" s="46"/>
      <c r="J359" s="376"/>
      <c r="K359" s="376">
        <v>11</v>
      </c>
      <c r="M359" t="s">
        <v>676</v>
      </c>
    </row>
    <row r="360" spans="4:14">
      <c r="D360" s="80" t="s">
        <v>779</v>
      </c>
      <c r="E360" s="483" t="s">
        <v>794</v>
      </c>
      <c r="F360" s="69" t="s">
        <v>316</v>
      </c>
      <c r="G360" s="333"/>
      <c r="H360" s="333">
        <v>206.4</v>
      </c>
      <c r="I360" s="69"/>
      <c r="J360" s="375"/>
      <c r="K360" s="375"/>
      <c r="M360" t="s">
        <v>795</v>
      </c>
    </row>
    <row r="361" spans="4:14">
      <c r="D361" s="404">
        <v>44877</v>
      </c>
      <c r="E361" s="69" t="s">
        <v>309</v>
      </c>
      <c r="F361" s="69" t="s">
        <v>300</v>
      </c>
      <c r="G361" s="333"/>
      <c r="H361" s="333"/>
      <c r="I361" s="69"/>
      <c r="J361" s="375"/>
      <c r="K361" s="375"/>
      <c r="M361" t="s">
        <v>310</v>
      </c>
    </row>
    <row r="362" spans="4:14">
      <c r="D362" s="365">
        <v>44895</v>
      </c>
      <c r="E362" s="1196" t="s">
        <v>1389</v>
      </c>
      <c r="F362" s="24" t="s">
        <v>706</v>
      </c>
      <c r="G362" s="57"/>
      <c r="H362" s="57"/>
      <c r="I362" s="24"/>
      <c r="J362" s="383"/>
      <c r="K362" s="383"/>
      <c r="M362" t="s">
        <v>707</v>
      </c>
    </row>
    <row r="363" spans="4:14">
      <c r="D363" s="373"/>
      <c r="E363" s="25"/>
      <c r="F363" s="25"/>
      <c r="G363" s="61"/>
      <c r="H363" s="61"/>
      <c r="I363" s="25"/>
      <c r="J363" s="384"/>
      <c r="K363" s="384"/>
      <c r="M363" t="s">
        <v>708</v>
      </c>
    </row>
    <row r="364" spans="4:14">
      <c r="D364" s="399">
        <v>44903</v>
      </c>
      <c r="E364" s="56" t="s">
        <v>647</v>
      </c>
      <c r="F364" s="56" t="s">
        <v>242</v>
      </c>
      <c r="G364" s="401"/>
      <c r="H364" s="401"/>
      <c r="I364" s="56"/>
      <c r="J364" s="378"/>
      <c r="K364" s="378"/>
      <c r="M364" t="s">
        <v>723</v>
      </c>
    </row>
    <row r="365" spans="4:14">
      <c r="D365" s="373" t="s">
        <v>50</v>
      </c>
      <c r="E365" s="25" t="s">
        <v>735</v>
      </c>
      <c r="F365" s="25" t="s">
        <v>237</v>
      </c>
      <c r="G365" s="61"/>
      <c r="H365" s="61"/>
      <c r="I365" s="25"/>
      <c r="J365" s="384">
        <v>65</v>
      </c>
      <c r="K365" s="384"/>
      <c r="M365" t="s">
        <v>743</v>
      </c>
    </row>
    <row r="366" spans="4:14">
      <c r="D366" s="404">
        <v>44804</v>
      </c>
      <c r="E366" s="69" t="s">
        <v>255</v>
      </c>
      <c r="F366" s="69" t="s">
        <v>737</v>
      </c>
      <c r="G366" s="333"/>
      <c r="H366" s="333"/>
      <c r="I366" s="69"/>
      <c r="J366" s="375"/>
      <c r="K366" s="375"/>
      <c r="M366" t="s">
        <v>738</v>
      </c>
    </row>
    <row r="367" spans="4:14">
      <c r="D367" s="26" t="s">
        <v>148</v>
      </c>
      <c r="E367" s="1528" t="s">
        <v>1849</v>
      </c>
      <c r="F367" s="63" t="s">
        <v>1627</v>
      </c>
      <c r="G367" s="64"/>
      <c r="H367" s="64"/>
      <c r="I367" s="63"/>
      <c r="J367" s="367"/>
      <c r="K367" s="542"/>
      <c r="M367" t="s">
        <v>759</v>
      </c>
    </row>
    <row r="368" spans="4:14">
      <c r="D368" s="19" t="s">
        <v>148</v>
      </c>
      <c r="E368" s="25" t="s">
        <v>295</v>
      </c>
      <c r="F368" s="25" t="s">
        <v>724</v>
      </c>
      <c r="G368" s="61"/>
      <c r="H368" s="61"/>
      <c r="I368" s="25"/>
      <c r="J368" s="384"/>
      <c r="K368" s="384"/>
      <c r="M368" t="s">
        <v>720</v>
      </c>
    </row>
    <row r="369" spans="4:13">
      <c r="D369" s="26" t="s">
        <v>148</v>
      </c>
      <c r="E369" s="63" t="s">
        <v>126</v>
      </c>
      <c r="F369" s="63" t="s">
        <v>725</v>
      </c>
      <c r="G369" s="64"/>
      <c r="H369" s="64"/>
      <c r="I369" s="63"/>
      <c r="J369" s="367"/>
      <c r="K369" s="367"/>
      <c r="M369" t="s">
        <v>721</v>
      </c>
    </row>
    <row r="370" spans="4:13">
      <c r="D370" s="26" t="s">
        <v>148</v>
      </c>
      <c r="E370" s="63" t="s">
        <v>906</v>
      </c>
      <c r="F370" s="63"/>
      <c r="G370" s="64"/>
      <c r="H370" s="64"/>
      <c r="I370" s="63"/>
      <c r="J370" s="367">
        <v>212</v>
      </c>
      <c r="K370" s="367"/>
      <c r="M370" t="s">
        <v>722</v>
      </c>
    </row>
    <row r="371" spans="4:13">
      <c r="D371" s="26" t="s">
        <v>148</v>
      </c>
      <c r="E371" s="63" t="s">
        <v>718</v>
      </c>
      <c r="F371" s="63" t="s">
        <v>340</v>
      </c>
      <c r="G371" s="64"/>
      <c r="H371" s="64">
        <v>3900</v>
      </c>
      <c r="I371" s="63"/>
      <c r="J371" s="367"/>
      <c r="K371" s="367"/>
      <c r="M371" t="s">
        <v>719</v>
      </c>
    </row>
    <row r="372" spans="4:13" ht="7" customHeight="1"/>
    <row r="373" spans="4:13">
      <c r="D373" s="408"/>
      <c r="E373" s="409" t="s">
        <v>426</v>
      </c>
      <c r="F373" s="413"/>
      <c r="G373" s="414"/>
      <c r="H373" s="414"/>
      <c r="I373" s="413"/>
      <c r="J373" s="422"/>
      <c r="K373" s="461">
        <v>529</v>
      </c>
      <c r="M373" t="s">
        <v>942</v>
      </c>
    </row>
    <row r="374" spans="4:13">
      <c r="D374" s="79"/>
      <c r="E374" s="25" t="s">
        <v>406</v>
      </c>
      <c r="F374" s="419"/>
      <c r="G374" s="420"/>
      <c r="H374" s="420"/>
      <c r="I374" s="419"/>
      <c r="J374" s="423"/>
      <c r="K374" s="421"/>
    </row>
    <row r="375" spans="4:13" ht="7" customHeight="1">
      <c r="D375"/>
      <c r="F375" s="154"/>
      <c r="G375" s="429"/>
      <c r="H375" s="429"/>
      <c r="I375" s="154"/>
      <c r="J375" s="430"/>
      <c r="K375" s="431"/>
    </row>
    <row r="376" spans="4:13">
      <c r="F376" s="39" t="s">
        <v>740</v>
      </c>
      <c r="G376" s="390">
        <f>SUM(G338:G375)</f>
        <v>600</v>
      </c>
      <c r="H376" s="390">
        <f>SUM(H338:H375)</f>
        <v>4206.3999999999996</v>
      </c>
      <c r="I376" s="389"/>
      <c r="J376" s="390">
        <f>SUM(J338:J375)</f>
        <v>849.4316</v>
      </c>
      <c r="K376" s="390">
        <f>SUM(K338:K375)</f>
        <v>3453.5158499999998</v>
      </c>
    </row>
    <row r="378" spans="4:13">
      <c r="G378" s="2081" t="s">
        <v>330</v>
      </c>
      <c r="H378" s="2082"/>
      <c r="I378" s="154"/>
      <c r="J378" s="2083" t="s">
        <v>331</v>
      </c>
      <c r="K378" s="2084"/>
    </row>
    <row r="379" spans="4:13">
      <c r="G379" s="391" t="s">
        <v>175</v>
      </c>
      <c r="H379" s="392" t="s">
        <v>340</v>
      </c>
      <c r="I379" s="393"/>
      <c r="J379" s="394" t="s">
        <v>175</v>
      </c>
      <c r="K379" s="395" t="s">
        <v>176</v>
      </c>
      <c r="M379" s="154" t="s">
        <v>981</v>
      </c>
    </row>
    <row r="380" spans="4:13">
      <c r="D380" s="39" t="s">
        <v>44</v>
      </c>
      <c r="E380" s="518">
        <v>2021</v>
      </c>
      <c r="F380" s="45" t="s">
        <v>204</v>
      </c>
      <c r="G380" s="637" t="s">
        <v>191</v>
      </c>
      <c r="H380" s="638" t="s">
        <v>192</v>
      </c>
      <c r="I380" s="396"/>
      <c r="J380" s="639" t="s">
        <v>191</v>
      </c>
      <c r="K380" s="640" t="s">
        <v>192</v>
      </c>
      <c r="M380" s="11" t="s">
        <v>48</v>
      </c>
    </row>
    <row r="381" spans="4:13" ht="6" customHeight="1">
      <c r="E381" s="42"/>
    </row>
    <row r="382" spans="4:13">
      <c r="D382" s="388" t="s">
        <v>663</v>
      </c>
      <c r="E382" s="46" t="s">
        <v>1496</v>
      </c>
      <c r="F382" s="46"/>
      <c r="G382" s="318"/>
      <c r="H382" s="318"/>
      <c r="I382" s="46"/>
      <c r="J382" s="376"/>
      <c r="K382" s="376">
        <v>272.10000000000002</v>
      </c>
      <c r="M382" t="s">
        <v>1497</v>
      </c>
    </row>
    <row r="383" spans="4:13" ht="15" customHeight="1">
      <c r="D383" s="45" t="s">
        <v>663</v>
      </c>
      <c r="E383" s="460" t="s">
        <v>63</v>
      </c>
      <c r="F383" s="46" t="s">
        <v>736</v>
      </c>
      <c r="G383" s="318"/>
      <c r="H383" s="318"/>
      <c r="I383" s="46"/>
      <c r="J383" s="376"/>
      <c r="K383" s="376"/>
    </row>
    <row r="384" spans="4:13" ht="15" customHeight="1">
      <c r="D384" s="45" t="s">
        <v>663</v>
      </c>
      <c r="E384" s="460" t="s">
        <v>717</v>
      </c>
      <c r="F384" s="46" t="s">
        <v>713</v>
      </c>
      <c r="G384" s="318"/>
      <c r="H384" s="318"/>
      <c r="I384" s="46"/>
      <c r="J384" s="376"/>
      <c r="K384" s="376"/>
    </row>
    <row r="385" spans="4:13">
      <c r="D385" s="366" t="s">
        <v>161</v>
      </c>
      <c r="E385" s="206" t="s">
        <v>57</v>
      </c>
      <c r="F385" s="63" t="s">
        <v>118</v>
      </c>
      <c r="G385" s="64"/>
      <c r="H385" s="64"/>
      <c r="I385" s="63"/>
      <c r="J385" s="376"/>
      <c r="K385" s="376"/>
      <c r="M385" t="s">
        <v>727</v>
      </c>
    </row>
    <row r="386" spans="4:13">
      <c r="D386" s="366" t="s">
        <v>161</v>
      </c>
      <c r="E386" s="206" t="s">
        <v>65</v>
      </c>
      <c r="F386" s="63" t="s">
        <v>118</v>
      </c>
      <c r="G386" s="64"/>
      <c r="H386" s="64"/>
      <c r="I386" s="63"/>
      <c r="J386" s="376"/>
      <c r="K386" s="376"/>
      <c r="M386" t="s">
        <v>730</v>
      </c>
    </row>
    <row r="387" spans="4:13">
      <c r="D387" s="365">
        <v>44622</v>
      </c>
      <c r="E387" s="481" t="s">
        <v>699</v>
      </c>
      <c r="F387" s="24" t="s">
        <v>790</v>
      </c>
      <c r="G387" s="57"/>
      <c r="H387" s="57"/>
      <c r="I387" s="24"/>
      <c r="J387" s="377"/>
      <c r="K387" s="377"/>
      <c r="M387" s="480" t="s">
        <v>792</v>
      </c>
    </row>
    <row r="388" spans="4:13">
      <c r="D388" s="365">
        <v>44631</v>
      </c>
      <c r="E388" s="194" t="s">
        <v>353</v>
      </c>
      <c r="F388" s="24" t="s">
        <v>354</v>
      </c>
      <c r="G388" s="57"/>
      <c r="H388" s="57"/>
      <c r="I388" s="24"/>
      <c r="J388" s="377"/>
      <c r="K388" s="377"/>
      <c r="M388" t="s">
        <v>355</v>
      </c>
    </row>
    <row r="389" spans="4:13">
      <c r="D389" s="365">
        <v>44651</v>
      </c>
      <c r="E389" s="194" t="s">
        <v>73</v>
      </c>
      <c r="F389" s="24" t="s">
        <v>842</v>
      </c>
      <c r="G389" s="57"/>
      <c r="H389" s="57"/>
      <c r="I389" s="24"/>
      <c r="J389" s="377"/>
      <c r="K389" s="377">
        <v>100</v>
      </c>
      <c r="M389" s="510" t="s">
        <v>843</v>
      </c>
    </row>
    <row r="390" spans="4:13">
      <c r="D390" s="365" t="s">
        <v>761</v>
      </c>
      <c r="E390" s="194" t="s">
        <v>67</v>
      </c>
      <c r="F390" s="24" t="s">
        <v>302</v>
      </c>
      <c r="G390" s="57"/>
      <c r="H390" s="57"/>
      <c r="I390" s="24"/>
      <c r="J390" s="377">
        <v>10</v>
      </c>
      <c r="K390" s="377"/>
      <c r="M390" s="510"/>
    </row>
    <row r="391" spans="4:13">
      <c r="D391" s="26" t="s">
        <v>761</v>
      </c>
      <c r="E391" s="1527" t="s">
        <v>1850</v>
      </c>
      <c r="F391" s="418" t="s">
        <v>316</v>
      </c>
      <c r="G391" s="64"/>
      <c r="H391" s="64"/>
      <c r="I391" s="63"/>
      <c r="J391" s="367"/>
      <c r="K391" s="542"/>
      <c r="M391" t="s">
        <v>760</v>
      </c>
    </row>
    <row r="392" spans="4:13">
      <c r="D392" s="58" t="s">
        <v>761</v>
      </c>
      <c r="E392" t="s">
        <v>273</v>
      </c>
      <c r="F392" t="s">
        <v>911</v>
      </c>
      <c r="J392" s="372"/>
      <c r="K392" s="378">
        <v>60</v>
      </c>
      <c r="M392" t="s">
        <v>2011</v>
      </c>
    </row>
    <row r="393" spans="4:13">
      <c r="D393" s="365" t="s">
        <v>1044</v>
      </c>
      <c r="E393" s="447" t="s">
        <v>361</v>
      </c>
      <c r="F393" s="24" t="s">
        <v>1045</v>
      </c>
      <c r="G393" s="57"/>
      <c r="H393" s="57"/>
      <c r="I393" s="24"/>
      <c r="J393" s="370"/>
      <c r="K393" s="1383"/>
      <c r="M393" t="s">
        <v>1046</v>
      </c>
    </row>
    <row r="394" spans="4:13">
      <c r="D394" s="365">
        <v>44726</v>
      </c>
      <c r="E394" s="450" t="s">
        <v>578</v>
      </c>
      <c r="F394" s="24" t="s">
        <v>579</v>
      </c>
      <c r="G394" s="57"/>
      <c r="H394" s="57"/>
      <c r="I394" s="24"/>
      <c r="J394" s="448">
        <v>600</v>
      </c>
      <c r="K394" s="377"/>
      <c r="M394" s="455" t="s">
        <v>1050</v>
      </c>
    </row>
    <row r="395" spans="4:13">
      <c r="D395" s="379"/>
      <c r="E395" s="454"/>
      <c r="F395" t="s">
        <v>349</v>
      </c>
      <c r="J395" s="385"/>
      <c r="K395" s="1381">
        <v>300</v>
      </c>
      <c r="M395" s="455" t="s">
        <v>1049</v>
      </c>
    </row>
    <row r="396" spans="4:13">
      <c r="D396" s="379"/>
      <c r="E396" s="454"/>
      <c r="F396" t="s">
        <v>582</v>
      </c>
      <c r="J396" s="385"/>
      <c r="K396" s="1381">
        <v>300</v>
      </c>
      <c r="M396" t="s">
        <v>580</v>
      </c>
    </row>
    <row r="397" spans="4:13">
      <c r="D397" s="373"/>
      <c r="E397" s="456"/>
      <c r="F397" s="25" t="s">
        <v>1045</v>
      </c>
      <c r="G397" s="61"/>
      <c r="H397" s="61"/>
      <c r="I397" s="25"/>
      <c r="J397" s="384"/>
      <c r="K397" s="1382"/>
      <c r="M397" t="s">
        <v>363</v>
      </c>
    </row>
    <row r="398" spans="4:13">
      <c r="D398" s="373">
        <v>44729</v>
      </c>
      <c r="E398" s="321" t="s">
        <v>219</v>
      </c>
      <c r="F398" s="25" t="s">
        <v>345</v>
      </c>
      <c r="G398" s="318"/>
      <c r="H398" s="1168">
        <v>103</v>
      </c>
      <c r="I398" s="25"/>
      <c r="J398" s="378"/>
      <c r="K398" s="378"/>
      <c r="M398" t="s">
        <v>230</v>
      </c>
    </row>
    <row r="399" spans="4:13">
      <c r="D399" s="366">
        <v>44747</v>
      </c>
      <c r="E399" s="63" t="s">
        <v>648</v>
      </c>
      <c r="F399" s="63" t="s">
        <v>211</v>
      </c>
      <c r="G399" s="318"/>
      <c r="H399" s="1168"/>
      <c r="I399" s="63"/>
      <c r="J399" s="376"/>
      <c r="K399" s="376"/>
      <c r="L399" s="364"/>
      <c r="M399" t="s">
        <v>212</v>
      </c>
    </row>
    <row r="400" spans="4:13">
      <c r="D400" s="365">
        <v>44756</v>
      </c>
      <c r="E400" s="609" t="s">
        <v>374</v>
      </c>
      <c r="F400" s="24" t="s">
        <v>346</v>
      </c>
      <c r="G400" s="318"/>
      <c r="H400" s="1168">
        <v>143</v>
      </c>
      <c r="I400" s="24"/>
      <c r="J400" s="377"/>
      <c r="K400" s="377"/>
      <c r="L400" s="364"/>
      <c r="M400" t="s">
        <v>229</v>
      </c>
    </row>
    <row r="401" spans="4:14">
      <c r="D401" s="366">
        <v>44778</v>
      </c>
      <c r="E401" s="63" t="s">
        <v>64</v>
      </c>
      <c r="F401" s="63" t="s">
        <v>352</v>
      </c>
      <c r="G401" s="64"/>
      <c r="H401" s="64"/>
      <c r="I401" s="63"/>
      <c r="J401" s="376"/>
      <c r="K401" s="376"/>
      <c r="L401" s="364"/>
      <c r="M401" t="s">
        <v>351</v>
      </c>
    </row>
    <row r="402" spans="4:14">
      <c r="D402" s="365">
        <v>44779</v>
      </c>
      <c r="E402" s="1652" t="s">
        <v>114</v>
      </c>
      <c r="F402" s="154" t="s">
        <v>342</v>
      </c>
      <c r="G402" s="57"/>
      <c r="H402" s="57"/>
      <c r="I402" s="24"/>
      <c r="J402" s="377"/>
      <c r="K402" s="377">
        <f>100*0.775</f>
        <v>77.5</v>
      </c>
      <c r="L402" s="364"/>
      <c r="M402" s="334" t="s">
        <v>1958</v>
      </c>
      <c r="N402" s="18"/>
    </row>
    <row r="403" spans="4:14">
      <c r="D403" s="373"/>
      <c r="E403" s="25"/>
      <c r="F403" s="25" t="s">
        <v>217</v>
      </c>
      <c r="G403" s="61"/>
      <c r="H403" s="61"/>
      <c r="I403" s="25"/>
      <c r="J403" s="378"/>
      <c r="K403" s="378"/>
      <c r="L403" s="364"/>
      <c r="M403" s="79" t="s">
        <v>218</v>
      </c>
      <c r="N403" s="23"/>
    </row>
    <row r="404" spans="4:14">
      <c r="D404" s="379">
        <v>44782</v>
      </c>
      <c r="E404" t="s">
        <v>4</v>
      </c>
      <c r="F404" t="s">
        <v>300</v>
      </c>
      <c r="J404" s="375">
        <v>36</v>
      </c>
      <c r="K404" s="375"/>
      <c r="L404" s="364"/>
      <c r="M404" s="73" t="s">
        <v>1468</v>
      </c>
      <c r="N404" s="60"/>
    </row>
    <row r="405" spans="4:14">
      <c r="D405" s="379">
        <v>44792</v>
      </c>
      <c r="E405" t="s">
        <v>227</v>
      </c>
      <c r="F405" t="s">
        <v>347</v>
      </c>
      <c r="J405" s="375">
        <v>90.3</v>
      </c>
      <c r="K405" s="375"/>
      <c r="L405" s="364"/>
      <c r="M405" s="73" t="s">
        <v>228</v>
      </c>
      <c r="N405" s="60"/>
    </row>
    <row r="406" spans="4:14">
      <c r="D406" s="365">
        <v>44796</v>
      </c>
      <c r="E406" s="24" t="s">
        <v>225</v>
      </c>
      <c r="F406" s="24" t="s">
        <v>184</v>
      </c>
      <c r="G406" s="335">
        <v>696</v>
      </c>
      <c r="H406" s="642"/>
      <c r="I406" s="24"/>
      <c r="J406" s="377"/>
      <c r="K406" s="377"/>
      <c r="M406" s="334" t="s">
        <v>224</v>
      </c>
      <c r="N406" s="18"/>
    </row>
    <row r="407" spans="4:14">
      <c r="D407" s="379"/>
      <c r="G407" s="333">
        <v>236</v>
      </c>
      <c r="H407" s="476"/>
      <c r="J407" s="375"/>
      <c r="K407" s="375"/>
      <c r="M407" s="73" t="s">
        <v>210</v>
      </c>
      <c r="N407" s="60"/>
    </row>
    <row r="408" spans="4:14">
      <c r="D408" s="373"/>
      <c r="E408" s="25"/>
      <c r="F408" s="25"/>
      <c r="G408" s="401"/>
      <c r="H408" s="477"/>
      <c r="I408" s="25"/>
      <c r="J408" s="378"/>
      <c r="K408" s="378"/>
      <c r="M408" s="79" t="s">
        <v>226</v>
      </c>
      <c r="N408" s="23"/>
    </row>
    <row r="409" spans="4:14">
      <c r="D409" s="366">
        <v>44800</v>
      </c>
      <c r="E409" s="63" t="s">
        <v>231</v>
      </c>
      <c r="F409" s="63" t="s">
        <v>348</v>
      </c>
      <c r="G409" s="318">
        <v>375</v>
      </c>
      <c r="H409" s="1168"/>
      <c r="I409" s="63"/>
      <c r="J409" s="376"/>
      <c r="K409" s="376"/>
      <c r="M409" t="s">
        <v>209</v>
      </c>
    </row>
    <row r="410" spans="4:14">
      <c r="D410" s="365">
        <v>44811</v>
      </c>
      <c r="E410" s="24" t="s">
        <v>61</v>
      </c>
      <c r="F410" s="154" t="s">
        <v>339</v>
      </c>
      <c r="G410" s="57"/>
      <c r="H410" s="57"/>
      <c r="I410" s="24"/>
      <c r="J410" s="377"/>
      <c r="K410" s="377"/>
      <c r="M410" t="s">
        <v>234</v>
      </c>
    </row>
    <row r="411" spans="4:14">
      <c r="D411" s="365">
        <v>44834</v>
      </c>
      <c r="E411" s="194" t="s">
        <v>388</v>
      </c>
      <c r="F411" s="24" t="s">
        <v>302</v>
      </c>
      <c r="G411" s="57"/>
      <c r="H411" s="57"/>
      <c r="I411" s="24"/>
      <c r="J411" s="383">
        <f>1.868*26</f>
        <v>48.568000000000005</v>
      </c>
      <c r="K411" s="383"/>
      <c r="M411" s="334" t="s">
        <v>390</v>
      </c>
      <c r="N411" s="18"/>
    </row>
    <row r="412" spans="4:14">
      <c r="D412" s="379">
        <v>44834</v>
      </c>
      <c r="E412" s="7" t="s">
        <v>389</v>
      </c>
      <c r="F412" t="s">
        <v>302</v>
      </c>
      <c r="J412" s="385">
        <f>1.425*12.5</f>
        <v>17.8125</v>
      </c>
      <c r="K412" s="385"/>
      <c r="M412" s="73" t="s">
        <v>391</v>
      </c>
      <c r="N412" s="60"/>
    </row>
    <row r="413" spans="4:14">
      <c r="D413" s="373">
        <v>44834</v>
      </c>
      <c r="E413" s="321" t="s">
        <v>154</v>
      </c>
      <c r="F413" s="25" t="s">
        <v>342</v>
      </c>
      <c r="G413" s="61"/>
      <c r="H413" s="61"/>
      <c r="I413" s="25"/>
      <c r="J413" s="384"/>
      <c r="K413" s="384">
        <f>1.12*25</f>
        <v>28.000000000000004</v>
      </c>
      <c r="M413" s="79" t="s">
        <v>394</v>
      </c>
      <c r="N413" s="23"/>
    </row>
    <row r="414" spans="4:14">
      <c r="D414" s="388">
        <v>44845</v>
      </c>
      <c r="E414" s="460" t="s">
        <v>2</v>
      </c>
      <c r="F414" s="46" t="s">
        <v>682</v>
      </c>
      <c r="G414" s="318"/>
      <c r="H414" s="318"/>
      <c r="I414" s="46"/>
      <c r="J414" s="376"/>
      <c r="K414" s="376"/>
      <c r="M414" s="73" t="s">
        <v>683</v>
      </c>
    </row>
    <row r="415" spans="4:14">
      <c r="D415" s="379">
        <v>44882</v>
      </c>
      <c r="E415" t="s">
        <v>205</v>
      </c>
      <c r="F415" t="s">
        <v>207</v>
      </c>
      <c r="G415" s="335">
        <v>900</v>
      </c>
      <c r="H415" s="642"/>
      <c r="J415" s="375"/>
      <c r="K415" s="375"/>
      <c r="M415" s="69" t="s">
        <v>206</v>
      </c>
    </row>
    <row r="416" spans="4:14">
      <c r="D416" s="373" t="s">
        <v>50</v>
      </c>
      <c r="E416" s="25" t="s">
        <v>202</v>
      </c>
      <c r="F416" s="25"/>
      <c r="G416" s="401"/>
      <c r="H416" s="477"/>
      <c r="I416" s="25"/>
      <c r="J416" s="378"/>
      <c r="K416" s="378">
        <v>1000</v>
      </c>
      <c r="M416" s="56" t="s">
        <v>203</v>
      </c>
    </row>
    <row r="417" spans="4:14">
      <c r="D417" s="365">
        <v>44905</v>
      </c>
      <c r="E417" s="24" t="s">
        <v>220</v>
      </c>
      <c r="F417" s="24" t="s">
        <v>300</v>
      </c>
      <c r="G417" s="57"/>
      <c r="H417" s="57"/>
      <c r="I417" s="24"/>
      <c r="J417" s="377">
        <v>114</v>
      </c>
      <c r="K417" s="377"/>
      <c r="M417" s="334" t="s">
        <v>221</v>
      </c>
      <c r="N417" s="18"/>
    </row>
    <row r="418" spans="4:14">
      <c r="D418" s="373">
        <v>44911</v>
      </c>
      <c r="E418" s="25" t="s">
        <v>162</v>
      </c>
      <c r="F418" s="25" t="s">
        <v>300</v>
      </c>
      <c r="G418" s="61"/>
      <c r="H418" s="61"/>
      <c r="I418" s="25"/>
      <c r="J418" s="378">
        <v>78</v>
      </c>
      <c r="K418" s="378"/>
      <c r="M418" s="79" t="s">
        <v>222</v>
      </c>
      <c r="N418" s="23"/>
    </row>
    <row r="419" spans="4:14">
      <c r="D419" s="45" t="s">
        <v>50</v>
      </c>
      <c r="E419" s="46" t="s">
        <v>100</v>
      </c>
      <c r="F419" s="46" t="s">
        <v>302</v>
      </c>
      <c r="G419" s="318"/>
      <c r="H419" s="318"/>
      <c r="I419" s="46"/>
      <c r="J419" s="376">
        <f>7.2*25*0.775</f>
        <v>139.5</v>
      </c>
      <c r="K419" s="376"/>
      <c r="M419" t="s">
        <v>216</v>
      </c>
    </row>
    <row r="420" spans="4:14">
      <c r="D420" s="388" t="s">
        <v>50</v>
      </c>
      <c r="E420" s="46" t="s">
        <v>2</v>
      </c>
      <c r="F420" s="46" t="s">
        <v>682</v>
      </c>
      <c r="G420" s="318"/>
      <c r="H420" s="318"/>
      <c r="I420" s="46"/>
      <c r="J420" s="376"/>
      <c r="K420" s="376"/>
      <c r="M420" s="73" t="s">
        <v>758</v>
      </c>
    </row>
    <row r="421" spans="4:14">
      <c r="D421" s="388"/>
      <c r="E421" s="46" t="s">
        <v>718</v>
      </c>
      <c r="F421" s="46"/>
      <c r="G421" s="318"/>
      <c r="H421" s="318"/>
      <c r="I421" s="46"/>
      <c r="J421" s="376">
        <v>253</v>
      </c>
      <c r="K421" s="376"/>
      <c r="M421" t="s">
        <v>1133</v>
      </c>
    </row>
    <row r="422" spans="4:14" ht="8" customHeight="1">
      <c r="G422" s="385"/>
      <c r="H422" s="385"/>
      <c r="J422" s="385"/>
      <c r="K422" s="385"/>
    </row>
    <row r="423" spans="4:14">
      <c r="F423" s="39" t="s">
        <v>741</v>
      </c>
      <c r="G423" s="390">
        <f>SUM(G382:G422)</f>
        <v>2207</v>
      </c>
      <c r="H423" s="390">
        <f>SUM(H382:H422)</f>
        <v>246</v>
      </c>
      <c r="I423" s="322"/>
      <c r="J423" s="390">
        <f>SUM(J382:J422)</f>
        <v>1387.1804999999999</v>
      </c>
      <c r="K423" s="390">
        <f>SUM(K382:K422)</f>
        <v>2137.6</v>
      </c>
    </row>
    <row r="425" spans="4:14" ht="16" customHeight="1">
      <c r="G425" s="2081" t="s">
        <v>330</v>
      </c>
      <c r="H425" s="2082"/>
      <c r="I425" s="154"/>
      <c r="J425" s="2083" t="s">
        <v>331</v>
      </c>
      <c r="K425" s="2084"/>
    </row>
    <row r="426" spans="4:14">
      <c r="G426" s="391" t="s">
        <v>175</v>
      </c>
      <c r="H426" s="392" t="s">
        <v>340</v>
      </c>
      <c r="I426" s="393"/>
      <c r="J426" s="394" t="s">
        <v>175</v>
      </c>
      <c r="K426" s="395" t="s">
        <v>176</v>
      </c>
      <c r="M426" s="154" t="s">
        <v>982</v>
      </c>
    </row>
    <row r="427" spans="4:14">
      <c r="D427" s="39" t="s">
        <v>44</v>
      </c>
      <c r="E427" s="518">
        <v>2022</v>
      </c>
      <c r="F427" s="45" t="s">
        <v>204</v>
      </c>
      <c r="G427" s="637" t="s">
        <v>191</v>
      </c>
      <c r="H427" s="638" t="s">
        <v>192</v>
      </c>
      <c r="I427" s="396"/>
      <c r="J427" s="639" t="s">
        <v>191</v>
      </c>
      <c r="K427" s="640" t="s">
        <v>192</v>
      </c>
      <c r="M427" s="11" t="s">
        <v>48</v>
      </c>
    </row>
    <row r="428" spans="4:14" ht="7" customHeight="1">
      <c r="J428" s="369"/>
      <c r="K428" s="375"/>
    </row>
    <row r="429" spans="4:14">
      <c r="D429" s="388" t="s">
        <v>663</v>
      </c>
      <c r="E429" s="46" t="s">
        <v>1496</v>
      </c>
      <c r="F429" s="46"/>
      <c r="G429" s="318"/>
      <c r="H429" s="318"/>
      <c r="I429" s="46"/>
      <c r="J429" s="376"/>
      <c r="K429" s="376">
        <v>249.9</v>
      </c>
      <c r="M429" t="s">
        <v>1497</v>
      </c>
    </row>
    <row r="430" spans="4:14">
      <c r="D430" s="366">
        <v>44608</v>
      </c>
      <c r="E430" s="63" t="s">
        <v>380</v>
      </c>
      <c r="F430" s="63" t="s">
        <v>316</v>
      </c>
      <c r="G430" s="64"/>
      <c r="H430" s="64"/>
      <c r="I430" s="63"/>
      <c r="J430" s="370"/>
      <c r="K430" s="376">
        <v>65</v>
      </c>
      <c r="M430" t="s">
        <v>188</v>
      </c>
    </row>
    <row r="431" spans="4:14">
      <c r="D431" s="366">
        <v>44609</v>
      </c>
      <c r="E431" s="63" t="s">
        <v>182</v>
      </c>
      <c r="F431" s="63" t="s">
        <v>183</v>
      </c>
      <c r="G431" s="64"/>
      <c r="H431" s="64"/>
      <c r="I431" s="63"/>
      <c r="J431" s="370"/>
      <c r="K431" s="376">
        <f>5.3*1.56*0.775</f>
        <v>6.4077000000000011</v>
      </c>
      <c r="M431" t="s">
        <v>214</v>
      </c>
    </row>
    <row r="432" spans="4:14">
      <c r="D432" s="365">
        <v>44615</v>
      </c>
      <c r="E432" s="24" t="s">
        <v>6</v>
      </c>
      <c r="F432" s="24" t="s">
        <v>196</v>
      </c>
      <c r="G432" s="57"/>
      <c r="H432" s="57"/>
      <c r="I432" s="24"/>
      <c r="J432" s="371"/>
      <c r="K432" s="377">
        <v>300</v>
      </c>
      <c r="M432" s="334" t="s">
        <v>199</v>
      </c>
      <c r="N432" s="18"/>
    </row>
    <row r="433" spans="4:14">
      <c r="D433" s="379"/>
      <c r="F433" t="s">
        <v>200</v>
      </c>
      <c r="J433" s="369"/>
      <c r="K433" s="375"/>
      <c r="M433" s="73" t="s">
        <v>201</v>
      </c>
      <c r="N433" s="60"/>
    </row>
    <row r="434" spans="4:14">
      <c r="D434" s="373"/>
      <c r="E434" s="25"/>
      <c r="F434" s="374" t="s">
        <v>198</v>
      </c>
      <c r="G434" s="386"/>
      <c r="H434" s="386"/>
      <c r="I434" s="374"/>
      <c r="J434" s="372"/>
      <c r="K434" s="378"/>
      <c r="M434" s="79" t="s">
        <v>197</v>
      </c>
      <c r="N434" s="23"/>
    </row>
    <row r="435" spans="4:14">
      <c r="D435" s="379">
        <v>44645</v>
      </c>
      <c r="E435" t="s">
        <v>57</v>
      </c>
      <c r="F435" s="7" t="s">
        <v>312</v>
      </c>
      <c r="G435" s="402"/>
      <c r="H435" s="402"/>
      <c r="I435" s="7"/>
      <c r="J435" s="369"/>
      <c r="K435" s="375">
        <v>75</v>
      </c>
      <c r="M435" t="s">
        <v>311</v>
      </c>
    </row>
    <row r="436" spans="4:14">
      <c r="D436" s="365">
        <v>44650</v>
      </c>
      <c r="E436" s="447" t="s">
        <v>938</v>
      </c>
      <c r="F436" s="194" t="s">
        <v>356</v>
      </c>
      <c r="G436" s="403"/>
      <c r="H436" s="403"/>
      <c r="I436" s="194"/>
      <c r="J436" s="377"/>
      <c r="K436" s="722">
        <v>201.25</v>
      </c>
      <c r="M436" s="334" t="s">
        <v>387</v>
      </c>
      <c r="N436" s="18"/>
    </row>
    <row r="437" spans="4:14">
      <c r="D437" s="373"/>
      <c r="E437" s="721"/>
      <c r="F437" s="321"/>
      <c r="G437" s="387"/>
      <c r="H437" s="387"/>
      <c r="I437" s="321"/>
      <c r="J437" s="378"/>
      <c r="K437" s="652"/>
      <c r="M437" s="79" t="s">
        <v>366</v>
      </c>
      <c r="N437" s="23"/>
    </row>
    <row r="438" spans="4:14">
      <c r="D438" s="373">
        <v>44665</v>
      </c>
      <c r="E438" s="25" t="s">
        <v>213</v>
      </c>
      <c r="F438" s="321" t="s">
        <v>189</v>
      </c>
      <c r="G438" s="387"/>
      <c r="H438" s="387"/>
      <c r="I438" s="321"/>
      <c r="J438" s="372"/>
      <c r="K438" s="378">
        <f>6.67*15*0.775</f>
        <v>77.538749999999993</v>
      </c>
      <c r="M438" t="s">
        <v>215</v>
      </c>
    </row>
    <row r="439" spans="4:14">
      <c r="D439" s="365">
        <v>44677</v>
      </c>
      <c r="E439" s="24" t="s">
        <v>117</v>
      </c>
      <c r="F439" s="24" t="s">
        <v>183</v>
      </c>
      <c r="G439" s="57"/>
      <c r="H439" s="57"/>
      <c r="I439" s="24"/>
      <c r="J439" s="371"/>
      <c r="K439" s="377">
        <f>6.3*1.75*0.775</f>
        <v>8.5443750000000005</v>
      </c>
      <c r="M439" t="s">
        <v>662</v>
      </c>
    </row>
    <row r="440" spans="4:14">
      <c r="D440" s="365">
        <v>44713</v>
      </c>
      <c r="E440" s="24" t="s">
        <v>781</v>
      </c>
      <c r="F440" s="24" t="s">
        <v>782</v>
      </c>
      <c r="G440" s="57"/>
      <c r="H440" s="57"/>
      <c r="I440" s="24"/>
      <c r="J440" s="383"/>
      <c r="K440" s="472"/>
      <c r="M440" s="478" t="s">
        <v>783</v>
      </c>
    </row>
    <row r="441" spans="4:14">
      <c r="D441" s="373"/>
      <c r="E441" s="25"/>
      <c r="F441" s="25" t="s">
        <v>785</v>
      </c>
      <c r="G441" s="61"/>
      <c r="H441" s="61"/>
      <c r="I441" s="25"/>
      <c r="J441" s="384"/>
      <c r="K441" s="473"/>
      <c r="M441" s="478" t="s">
        <v>784</v>
      </c>
    </row>
    <row r="442" spans="4:14">
      <c r="D442" s="379">
        <v>44732</v>
      </c>
      <c r="E442" t="s">
        <v>179</v>
      </c>
      <c r="F442" t="s">
        <v>184</v>
      </c>
      <c r="G442" s="335">
        <v>1400</v>
      </c>
      <c r="H442" s="642"/>
      <c r="J442" s="385"/>
      <c r="K442" s="385"/>
      <c r="M442" s="334" t="s">
        <v>822</v>
      </c>
      <c r="N442" s="18"/>
    </row>
    <row r="443" spans="4:14">
      <c r="D443" s="58"/>
      <c r="E443" t="s">
        <v>180</v>
      </c>
      <c r="F443" t="s">
        <v>821</v>
      </c>
      <c r="G443" s="333"/>
      <c r="H443" s="476"/>
      <c r="J443" s="385"/>
      <c r="K443" s="385">
        <v>250</v>
      </c>
      <c r="M443" s="73"/>
      <c r="N443" s="60"/>
    </row>
    <row r="444" spans="4:14">
      <c r="D444" s="19"/>
      <c r="E444" s="25" t="s">
        <v>181</v>
      </c>
      <c r="F444" s="419" t="s">
        <v>342</v>
      </c>
      <c r="G444" s="401"/>
      <c r="H444" s="477"/>
      <c r="I444" s="25"/>
      <c r="J444" s="384"/>
      <c r="K444" s="384">
        <v>200</v>
      </c>
      <c r="M444" s="79"/>
      <c r="N444" s="23"/>
    </row>
    <row r="445" spans="4:14">
      <c r="D445" s="379">
        <v>44734</v>
      </c>
      <c r="E445" s="1390" t="s">
        <v>1600</v>
      </c>
      <c r="F445" t="s">
        <v>190</v>
      </c>
      <c r="J445" s="369"/>
      <c r="K445" s="375">
        <v>75</v>
      </c>
      <c r="M445" t="s">
        <v>1134</v>
      </c>
    </row>
    <row r="446" spans="4:14">
      <c r="D446" s="365">
        <v>44742</v>
      </c>
      <c r="E446" s="24" t="s">
        <v>382</v>
      </c>
      <c r="F446" s="24" t="s">
        <v>342</v>
      </c>
      <c r="G446" s="57"/>
      <c r="H446" s="57"/>
      <c r="I446" s="24"/>
      <c r="J446" s="383"/>
      <c r="K446" s="383">
        <v>96</v>
      </c>
      <c r="M446" s="334" t="s">
        <v>831</v>
      </c>
      <c r="N446" s="18"/>
    </row>
    <row r="447" spans="4:14">
      <c r="D447" s="379">
        <v>44742</v>
      </c>
      <c r="E447" t="s">
        <v>384</v>
      </c>
      <c r="F447" t="s">
        <v>342</v>
      </c>
      <c r="J447" s="385"/>
      <c r="K447" s="385">
        <f>58.65*0.921</f>
        <v>54.016649999999998</v>
      </c>
      <c r="M447" s="73" t="s">
        <v>832</v>
      </c>
      <c r="N447" s="60"/>
    </row>
    <row r="448" spans="4:14">
      <c r="D448" s="379">
        <v>44742</v>
      </c>
      <c r="E448" t="s">
        <v>386</v>
      </c>
      <c r="F448" t="s">
        <v>342</v>
      </c>
      <c r="J448" s="385"/>
      <c r="K448" s="385">
        <v>45</v>
      </c>
      <c r="M448" s="73" t="s">
        <v>392</v>
      </c>
      <c r="N448" s="60"/>
    </row>
    <row r="449" spans="4:14">
      <c r="D449" s="379">
        <v>44742</v>
      </c>
      <c r="E449" t="s">
        <v>155</v>
      </c>
      <c r="F449" t="s">
        <v>342</v>
      </c>
      <c r="J449" s="384"/>
      <c r="K449" s="384">
        <v>33</v>
      </c>
      <c r="M449" s="79" t="s">
        <v>393</v>
      </c>
      <c r="N449" s="23"/>
    </row>
    <row r="450" spans="4:14">
      <c r="D450" s="529"/>
      <c r="E450" s="530" t="s">
        <v>273</v>
      </c>
      <c r="F450" s="530" t="s">
        <v>1131</v>
      </c>
      <c r="G450" s="531"/>
      <c r="H450" s="531"/>
      <c r="I450" s="543"/>
      <c r="J450" s="542"/>
      <c r="K450" s="376"/>
      <c r="M450" s="73" t="s">
        <v>1288</v>
      </c>
      <c r="N450" s="60"/>
    </row>
    <row r="451" spans="4:14">
      <c r="D451" s="524"/>
      <c r="E451" s="525" t="s">
        <v>57</v>
      </c>
      <c r="F451" s="525" t="s">
        <v>753</v>
      </c>
      <c r="G451" s="526"/>
      <c r="H451" s="526"/>
      <c r="I451" s="541"/>
      <c r="J451" s="542"/>
      <c r="K451" s="376">
        <v>109.2</v>
      </c>
      <c r="M451" s="73"/>
      <c r="N451" s="60"/>
    </row>
    <row r="452" spans="4:14">
      <c r="D452" s="532">
        <v>44747</v>
      </c>
      <c r="E452" s="533" t="s">
        <v>173</v>
      </c>
      <c r="F452" s="533" t="s">
        <v>302</v>
      </c>
      <c r="G452" s="534"/>
      <c r="H452" s="534"/>
      <c r="I452" s="539"/>
      <c r="J452" s="385">
        <f>30.548*20.5</f>
        <v>626.23399999999992</v>
      </c>
      <c r="K452" s="375"/>
      <c r="M452" s="334" t="s">
        <v>195</v>
      </c>
      <c r="N452" s="18"/>
    </row>
    <row r="453" spans="4:14">
      <c r="D453" s="544"/>
      <c r="E453" s="525" t="s">
        <v>1105</v>
      </c>
      <c r="F453" s="525" t="s">
        <v>193</v>
      </c>
      <c r="G453" s="526"/>
      <c r="H453" s="526"/>
      <c r="I453" s="541"/>
      <c r="J453" s="384">
        <f>30.548*6</f>
        <v>183.28799999999998</v>
      </c>
      <c r="K453" s="378"/>
      <c r="M453" s="79" t="s">
        <v>194</v>
      </c>
      <c r="N453" s="23"/>
    </row>
    <row r="454" spans="4:14">
      <c r="D454" s="529">
        <v>44747</v>
      </c>
      <c r="E454" s="530" t="s">
        <v>172</v>
      </c>
      <c r="F454" s="530" t="s">
        <v>316</v>
      </c>
      <c r="G454" s="531"/>
      <c r="H454" s="531"/>
      <c r="I454" s="543"/>
      <c r="J454" s="384"/>
      <c r="K454" s="378">
        <v>195</v>
      </c>
      <c r="M454" t="s">
        <v>223</v>
      </c>
    </row>
    <row r="455" spans="4:14">
      <c r="D455" s="373">
        <v>44777</v>
      </c>
      <c r="E455" s="25" t="s">
        <v>174</v>
      </c>
      <c r="F455" s="25"/>
      <c r="G455" s="61"/>
      <c r="H455" s="61"/>
      <c r="I455" s="25"/>
      <c r="J455" s="370"/>
      <c r="K455" s="376"/>
      <c r="M455" t="s">
        <v>177</v>
      </c>
      <c r="N455" t="s">
        <v>178</v>
      </c>
    </row>
    <row r="456" spans="4:14">
      <c r="D456" s="366">
        <v>44782</v>
      </c>
      <c r="E456" s="63" t="s">
        <v>1</v>
      </c>
      <c r="F456" s="63" t="s">
        <v>185</v>
      </c>
      <c r="G456" s="64"/>
      <c r="H456" s="64"/>
      <c r="I456" s="63"/>
      <c r="J456" s="370"/>
      <c r="K456" s="376">
        <v>342</v>
      </c>
      <c r="M456" t="s">
        <v>1119</v>
      </c>
    </row>
    <row r="457" spans="4:14">
      <c r="D457" s="365">
        <v>44784</v>
      </c>
      <c r="E457" s="24" t="s">
        <v>208</v>
      </c>
      <c r="F457" s="24" t="s">
        <v>339</v>
      </c>
      <c r="G457" s="57"/>
      <c r="H457" s="57"/>
      <c r="I457" s="24"/>
      <c r="J457" s="371"/>
      <c r="K457" s="377"/>
      <c r="M457" t="s">
        <v>233</v>
      </c>
    </row>
    <row r="458" spans="4:14">
      <c r="D458" s="365">
        <v>44784</v>
      </c>
      <c r="E458" s="24" t="s">
        <v>43</v>
      </c>
      <c r="F458" s="24" t="s">
        <v>186</v>
      </c>
      <c r="G458" s="335">
        <v>750</v>
      </c>
      <c r="H458" s="642"/>
      <c r="I458" s="24"/>
      <c r="J458" s="371"/>
      <c r="K458" s="377"/>
      <c r="M458" s="368" t="s">
        <v>187</v>
      </c>
      <c r="N458" s="18"/>
    </row>
    <row r="459" spans="4:14">
      <c r="D459" s="373">
        <v>44831</v>
      </c>
      <c r="E459" s="25" t="s">
        <v>247</v>
      </c>
      <c r="F459" s="25" t="s">
        <v>316</v>
      </c>
      <c r="G459" s="401"/>
      <c r="H459" s="477">
        <v>733</v>
      </c>
      <c r="I459" s="25"/>
      <c r="J459" s="372"/>
      <c r="K459" s="378"/>
      <c r="M459" s="79" t="s">
        <v>882</v>
      </c>
      <c r="N459" s="23"/>
    </row>
    <row r="460" spans="4:14">
      <c r="D460" s="379">
        <v>44834</v>
      </c>
      <c r="E460" t="s">
        <v>838</v>
      </c>
      <c r="F460" t="s">
        <v>316</v>
      </c>
      <c r="J460" s="369"/>
      <c r="K460" s="375">
        <f>2.769*55</f>
        <v>152.29500000000002</v>
      </c>
      <c r="M460" s="79" t="s">
        <v>839</v>
      </c>
      <c r="N460" s="23"/>
    </row>
    <row r="461" spans="4:14">
      <c r="D461" s="532">
        <v>44858</v>
      </c>
      <c r="E461" s="1653" t="s">
        <v>114</v>
      </c>
      <c r="F461" s="533" t="s">
        <v>1960</v>
      </c>
      <c r="G461" s="534"/>
      <c r="H461" s="534"/>
      <c r="I461" s="535"/>
      <c r="J461" s="536"/>
      <c r="K461" s="537">
        <f>16*2.09*0.74</f>
        <v>24.7456</v>
      </c>
      <c r="M461" s="334" t="s">
        <v>837</v>
      </c>
      <c r="N461" s="18"/>
    </row>
    <row r="462" spans="4:14">
      <c r="D462" s="365">
        <v>45272</v>
      </c>
      <c r="E462" s="24" t="s">
        <v>947</v>
      </c>
      <c r="F462" s="24"/>
      <c r="G462" s="57"/>
      <c r="H462" s="57"/>
      <c r="I462" s="24"/>
      <c r="J462" s="383"/>
      <c r="K462" s="472"/>
      <c r="M462" s="334" t="s">
        <v>948</v>
      </c>
      <c r="N462" s="18"/>
    </row>
    <row r="463" spans="4:14">
      <c r="D463" s="373"/>
      <c r="E463" s="25"/>
      <c r="F463" s="25"/>
      <c r="G463" s="61"/>
      <c r="H463" s="61"/>
      <c r="I463" s="25"/>
      <c r="J463" s="384"/>
      <c r="K463" s="473"/>
      <c r="M463" s="79" t="s">
        <v>949</v>
      </c>
      <c r="N463" s="23"/>
    </row>
    <row r="464" spans="4:14">
      <c r="D464" s="657">
        <v>44908</v>
      </c>
      <c r="E464" t="s">
        <v>150</v>
      </c>
      <c r="F464" s="658" t="s">
        <v>316</v>
      </c>
      <c r="G464" s="659"/>
      <c r="H464" s="659"/>
      <c r="I464" s="658"/>
      <c r="J464" s="660"/>
      <c r="K464" s="661">
        <v>53</v>
      </c>
      <c r="M464" s="549" t="s">
        <v>888</v>
      </c>
      <c r="N464" s="547"/>
    </row>
    <row r="465" spans="4:14">
      <c r="D465" s="524"/>
      <c r="E465" s="525"/>
      <c r="F465" s="525" t="s">
        <v>1080</v>
      </c>
      <c r="G465" s="526"/>
      <c r="H465" s="526"/>
      <c r="I465" s="525"/>
      <c r="J465" s="527"/>
      <c r="K465" s="528">
        <v>53</v>
      </c>
      <c r="M465" s="540" t="s">
        <v>1965</v>
      </c>
      <c r="N465" s="541"/>
    </row>
    <row r="466" spans="4:14">
      <c r="D466" s="532">
        <v>45274</v>
      </c>
      <c r="E466" s="533" t="s">
        <v>907</v>
      </c>
      <c r="F466" s="520" t="s">
        <v>658</v>
      </c>
      <c r="G466" s="521"/>
      <c r="H466" s="521"/>
      <c r="I466" s="520"/>
      <c r="J466" s="522">
        <f>115*0.735</f>
        <v>84.524999999999991</v>
      </c>
      <c r="K466" s="523"/>
      <c r="M466" s="538" t="s">
        <v>910</v>
      </c>
      <c r="N466" s="539"/>
    </row>
    <row r="467" spans="4:14">
      <c r="D467" s="657"/>
      <c r="F467" t="s">
        <v>908</v>
      </c>
      <c r="J467" s="369"/>
      <c r="K467" s="664"/>
      <c r="M467" s="549" t="s">
        <v>909</v>
      </c>
      <c r="N467" s="547"/>
    </row>
    <row r="468" spans="4:14">
      <c r="D468" s="366" t="s">
        <v>148</v>
      </c>
      <c r="E468" s="63" t="s">
        <v>2391</v>
      </c>
      <c r="F468" s="63" t="s">
        <v>316</v>
      </c>
      <c r="G468" s="64"/>
      <c r="H468" s="64"/>
      <c r="I468" s="63"/>
      <c r="J468" s="367"/>
      <c r="K468" s="542"/>
      <c r="M468" s="50" t="s">
        <v>979</v>
      </c>
      <c r="N468" s="28"/>
    </row>
    <row r="469" spans="4:14" ht="7" customHeight="1">
      <c r="D469" s="1710"/>
      <c r="E469" s="63"/>
      <c r="F469" s="63"/>
      <c r="G469" s="64"/>
      <c r="H469" s="64"/>
      <c r="I469" s="63"/>
      <c r="J469" s="367"/>
      <c r="K469" s="367"/>
      <c r="M469" s="63"/>
      <c r="N469" s="63"/>
    </row>
    <row r="470" spans="4:14">
      <c r="D470" s="366">
        <v>45698</v>
      </c>
      <c r="E470" s="63" t="s">
        <v>2042</v>
      </c>
      <c r="F470" s="63" t="s">
        <v>2043</v>
      </c>
      <c r="G470" s="64"/>
      <c r="H470" s="64"/>
      <c r="I470" s="63"/>
      <c r="J470" s="367"/>
      <c r="K470" s="542"/>
      <c r="M470" s="50" t="s">
        <v>2044</v>
      </c>
      <c r="N470" s="28"/>
    </row>
    <row r="471" spans="4:14" ht="7" customHeight="1">
      <c r="G471" s="385"/>
      <c r="H471" s="385"/>
      <c r="J471" s="385"/>
      <c r="K471" s="385"/>
    </row>
    <row r="472" spans="4:14">
      <c r="F472" s="39" t="s">
        <v>742</v>
      </c>
      <c r="G472" s="653">
        <f>SUM(G430:G471)</f>
        <v>2150</v>
      </c>
      <c r="H472" s="390">
        <f>SUM(H430:H471)</f>
        <v>733</v>
      </c>
      <c r="I472" s="322"/>
      <c r="J472" s="653">
        <f>SUM(J430:J471)</f>
        <v>894.04699999999991</v>
      </c>
      <c r="K472" s="390">
        <f>SUM(K429:K471)</f>
        <v>2665.8980750000001</v>
      </c>
    </row>
    <row r="474" spans="4:14">
      <c r="G474" s="2081" t="s">
        <v>330</v>
      </c>
      <c r="H474" s="2082"/>
      <c r="I474" s="154"/>
      <c r="J474" s="2083" t="s">
        <v>331</v>
      </c>
      <c r="K474" s="2084"/>
    </row>
    <row r="475" spans="4:14">
      <c r="G475" s="391" t="s">
        <v>175</v>
      </c>
      <c r="H475" s="392" t="s">
        <v>340</v>
      </c>
      <c r="I475" s="393"/>
      <c r="J475" s="394" t="s">
        <v>175</v>
      </c>
      <c r="K475" s="395" t="s">
        <v>176</v>
      </c>
    </row>
    <row r="476" spans="4:14">
      <c r="D476" s="39" t="s">
        <v>44</v>
      </c>
      <c r="E476" s="518">
        <v>2023</v>
      </c>
      <c r="F476" s="45" t="s">
        <v>204</v>
      </c>
      <c r="G476" s="637" t="s">
        <v>191</v>
      </c>
      <c r="H476" s="638" t="s">
        <v>192</v>
      </c>
      <c r="I476" s="396"/>
      <c r="J476" s="639" t="s">
        <v>191</v>
      </c>
      <c r="K476" s="640" t="s">
        <v>192</v>
      </c>
      <c r="M476" s="11" t="s">
        <v>48</v>
      </c>
    </row>
    <row r="477" spans="4:14" ht="7" customHeight="1">
      <c r="J477" s="369"/>
      <c r="K477" s="375"/>
    </row>
    <row r="478" spans="4:14">
      <c r="D478" s="388" t="s">
        <v>663</v>
      </c>
      <c r="E478" s="46" t="s">
        <v>1569</v>
      </c>
      <c r="F478" s="46"/>
      <c r="G478" s="318"/>
      <c r="H478" s="318"/>
      <c r="I478" s="46"/>
      <c r="J478" s="376"/>
      <c r="K478" s="376">
        <v>245.2</v>
      </c>
      <c r="M478" t="s">
        <v>1497</v>
      </c>
    </row>
    <row r="479" spans="4:14">
      <c r="D479" s="365">
        <v>45292</v>
      </c>
      <c r="E479" s="24" t="s">
        <v>1356</v>
      </c>
      <c r="F479" s="24"/>
      <c r="G479" s="57"/>
      <c r="H479" s="57"/>
      <c r="I479" s="24"/>
      <c r="J479" s="383"/>
      <c r="K479" s="472"/>
      <c r="M479" t="s">
        <v>1355</v>
      </c>
    </row>
    <row r="480" spans="4:14">
      <c r="D480" s="365">
        <v>44935</v>
      </c>
      <c r="E480" s="649" t="s">
        <v>941</v>
      </c>
      <c r="F480" s="24" t="s">
        <v>175</v>
      </c>
      <c r="G480" s="335">
        <v>379</v>
      </c>
      <c r="H480" s="642"/>
      <c r="I480" s="24"/>
      <c r="J480" s="383"/>
      <c r="K480" s="472"/>
      <c r="M480" t="s">
        <v>1103</v>
      </c>
    </row>
    <row r="481" spans="4:14">
      <c r="D481" s="373"/>
      <c r="E481" s="25" t="s">
        <v>1104</v>
      </c>
      <c r="F481" s="25" t="s">
        <v>936</v>
      </c>
      <c r="G481" s="401">
        <v>100</v>
      </c>
      <c r="H481" s="477"/>
      <c r="I481" s="25"/>
      <c r="J481" s="384"/>
      <c r="K481" s="473"/>
      <c r="M481" t="s">
        <v>937</v>
      </c>
    </row>
    <row r="482" spans="4:14">
      <c r="D482" s="379">
        <v>44939</v>
      </c>
      <c r="E482" s="650" t="s">
        <v>1047</v>
      </c>
      <c r="F482" t="s">
        <v>914</v>
      </c>
      <c r="J482" s="385"/>
      <c r="K482" s="651">
        <v>65</v>
      </c>
      <c r="M482" t="s">
        <v>915</v>
      </c>
    </row>
    <row r="483" spans="4:14">
      <c r="D483" s="373"/>
      <c r="E483" s="721"/>
      <c r="F483" s="25" t="s">
        <v>914</v>
      </c>
      <c r="G483" s="61"/>
      <c r="H483" s="61"/>
      <c r="I483" s="25"/>
      <c r="J483" s="384"/>
      <c r="K483" s="652">
        <v>14</v>
      </c>
      <c r="M483" t="s">
        <v>1048</v>
      </c>
    </row>
    <row r="484" spans="4:14">
      <c r="D484" s="373">
        <v>44967</v>
      </c>
      <c r="E484" s="25" t="s">
        <v>150</v>
      </c>
      <c r="F484" s="25" t="s">
        <v>1945</v>
      </c>
      <c r="G484" s="61"/>
      <c r="H484" s="61"/>
      <c r="I484" s="25"/>
      <c r="J484" s="372"/>
      <c r="K484" s="378"/>
      <c r="M484" s="25" t="s">
        <v>1966</v>
      </c>
    </row>
    <row r="485" spans="4:14">
      <c r="D485" s="365">
        <v>45006</v>
      </c>
      <c r="E485" s="24" t="s">
        <v>933</v>
      </c>
      <c r="F485" s="24" t="s">
        <v>934</v>
      </c>
      <c r="G485" s="57"/>
      <c r="H485" s="57"/>
      <c r="I485" s="24"/>
      <c r="J485" s="371"/>
      <c r="K485" s="377"/>
      <c r="M485" t="s">
        <v>935</v>
      </c>
    </row>
    <row r="486" spans="4:14">
      <c r="D486" s="365">
        <v>45380</v>
      </c>
      <c r="E486" s="464" t="s">
        <v>4</v>
      </c>
      <c r="F486" s="24" t="s">
        <v>316</v>
      </c>
      <c r="G486" s="57"/>
      <c r="H486" s="57"/>
      <c r="I486" s="24"/>
      <c r="J486" s="383"/>
      <c r="K486" s="383"/>
      <c r="M486" t="s">
        <v>1469</v>
      </c>
    </row>
    <row r="487" spans="4:14">
      <c r="D487" s="365" t="s">
        <v>761</v>
      </c>
      <c r="E487" s="24" t="s">
        <v>384</v>
      </c>
      <c r="F487" s="24" t="s">
        <v>316</v>
      </c>
      <c r="G487" s="57"/>
      <c r="H487" s="57"/>
      <c r="I487" s="24"/>
      <c r="J487" s="383"/>
      <c r="K487" s="383">
        <f>2.1*62</f>
        <v>130.20000000000002</v>
      </c>
      <c r="M487" s="334" t="s">
        <v>1019</v>
      </c>
      <c r="N487" s="18"/>
    </row>
    <row r="488" spans="4:14">
      <c r="D488" s="379" t="s">
        <v>761</v>
      </c>
      <c r="E488" t="s">
        <v>1020</v>
      </c>
      <c r="F488" t="s">
        <v>316</v>
      </c>
      <c r="J488" s="385"/>
      <c r="K488" s="385">
        <f>0.377*60</f>
        <v>22.62</v>
      </c>
      <c r="M488" s="73" t="s">
        <v>1021</v>
      </c>
      <c r="N488" s="60"/>
    </row>
    <row r="489" spans="4:14">
      <c r="D489" s="379" t="s">
        <v>761</v>
      </c>
      <c r="E489" t="s">
        <v>829</v>
      </c>
      <c r="F489" t="s">
        <v>316</v>
      </c>
      <c r="J489" s="385"/>
      <c r="K489" s="385">
        <f>4.6*4.67</f>
        <v>21.481999999999999</v>
      </c>
      <c r="M489" s="73" t="s">
        <v>1022</v>
      </c>
      <c r="N489" s="60"/>
    </row>
    <row r="490" spans="4:14">
      <c r="D490" s="379" t="s">
        <v>761</v>
      </c>
      <c r="E490" t="s">
        <v>382</v>
      </c>
      <c r="F490" t="s">
        <v>316</v>
      </c>
      <c r="J490" s="384"/>
      <c r="K490" s="384">
        <f>0.301*29</f>
        <v>8.7289999999999992</v>
      </c>
      <c r="M490" s="79" t="s">
        <v>1023</v>
      </c>
      <c r="N490" s="23"/>
    </row>
    <row r="491" spans="4:14">
      <c r="D491" s="365">
        <v>45035</v>
      </c>
      <c r="E491" s="1196" t="s">
        <v>1390</v>
      </c>
      <c r="F491" s="24" t="s">
        <v>1024</v>
      </c>
      <c r="G491" s="1377"/>
      <c r="H491" s="642">
        <v>860</v>
      </c>
      <c r="I491" s="24"/>
      <c r="J491" s="371"/>
      <c r="K491" s="377"/>
      <c r="M491" s="334" t="s">
        <v>1025</v>
      </c>
      <c r="N491" s="24"/>
    </row>
    <row r="492" spans="4:14">
      <c r="D492" s="379"/>
      <c r="E492" t="s">
        <v>1101</v>
      </c>
      <c r="G492" s="475"/>
      <c r="H492" s="476"/>
      <c r="J492" s="369"/>
      <c r="K492" s="375"/>
      <c r="M492" s="73" t="s">
        <v>1026</v>
      </c>
    </row>
    <row r="493" spans="4:14">
      <c r="D493" s="373"/>
      <c r="E493" s="25" t="s">
        <v>1464</v>
      </c>
      <c r="F493" s="25" t="s">
        <v>817</v>
      </c>
      <c r="G493" s="1378">
        <v>23</v>
      </c>
      <c r="H493" s="477"/>
      <c r="I493" s="25"/>
      <c r="J493" s="372"/>
      <c r="K493" s="378"/>
      <c r="M493" s="73" t="s">
        <v>1100</v>
      </c>
    </row>
    <row r="494" spans="4:14">
      <c r="D494" s="1781">
        <v>45082</v>
      </c>
      <c r="E494" s="1782" t="s">
        <v>6</v>
      </c>
      <c r="F494" s="1782" t="s">
        <v>1030</v>
      </c>
      <c r="G494" s="1783"/>
      <c r="H494" s="1783"/>
      <c r="I494" s="1782"/>
      <c r="J494" s="1784"/>
      <c r="K494" s="1785">
        <v>1800</v>
      </c>
      <c r="M494" s="334" t="s">
        <v>1054</v>
      </c>
      <c r="N494" s="18"/>
    </row>
    <row r="495" spans="4:14">
      <c r="D495" s="1786"/>
      <c r="E495" s="467"/>
      <c r="F495" s="467"/>
      <c r="G495" s="1787"/>
      <c r="H495" s="1787"/>
      <c r="I495" s="467"/>
      <c r="J495" s="1788"/>
      <c r="K495" s="1789"/>
      <c r="L495" s="69"/>
      <c r="M495" s="79" t="s">
        <v>1031</v>
      </c>
      <c r="N495" s="23"/>
    </row>
    <row r="496" spans="4:14">
      <c r="D496" s="365">
        <v>45082</v>
      </c>
      <c r="E496" s="24" t="s">
        <v>6</v>
      </c>
      <c r="F496" s="24" t="s">
        <v>1051</v>
      </c>
      <c r="G496" s="57"/>
      <c r="H496" s="57"/>
      <c r="I496" s="24"/>
      <c r="J496" s="371"/>
      <c r="K496" s="377">
        <v>200</v>
      </c>
      <c r="M496" s="334" t="s">
        <v>1052</v>
      </c>
      <c r="N496" s="18"/>
    </row>
    <row r="497" spans="1:14">
      <c r="D497" s="373"/>
      <c r="E497" s="25"/>
      <c r="F497" s="25" t="s">
        <v>217</v>
      </c>
      <c r="G497" s="61"/>
      <c r="H497" s="61"/>
      <c r="I497" s="25"/>
      <c r="J497" s="372"/>
      <c r="K497" s="378"/>
      <c r="M497" s="79" t="s">
        <v>1053</v>
      </c>
      <c r="N497" s="23"/>
    </row>
    <row r="498" spans="1:14">
      <c r="D498" s="366">
        <v>45103</v>
      </c>
      <c r="E498" s="63" t="s">
        <v>1057</v>
      </c>
      <c r="F498" s="63" t="s">
        <v>1055</v>
      </c>
      <c r="G498" s="64"/>
      <c r="H498" s="64"/>
      <c r="I498" s="63"/>
      <c r="J498" s="376"/>
      <c r="K498" s="542"/>
      <c r="M498" s="50" t="s">
        <v>1056</v>
      </c>
      <c r="N498" s="28"/>
    </row>
    <row r="499" spans="1:14">
      <c r="D499" s="379" t="s">
        <v>778</v>
      </c>
      <c r="E499" s="650" t="s">
        <v>1353</v>
      </c>
      <c r="F499" t="s">
        <v>1055</v>
      </c>
      <c r="J499" s="375"/>
      <c r="K499" s="723">
        <f>0.678021*15.5</f>
        <v>10.509325499999999</v>
      </c>
      <c r="M499" s="73" t="s">
        <v>1094</v>
      </c>
    </row>
    <row r="500" spans="1:14">
      <c r="D500" s="365" t="s">
        <v>778</v>
      </c>
      <c r="E500" s="24" t="s">
        <v>247</v>
      </c>
      <c r="F500" s="24" t="s">
        <v>1055</v>
      </c>
      <c r="G500" s="1377"/>
      <c r="H500" s="1274">
        <v>30.6</v>
      </c>
      <c r="I500" s="24"/>
      <c r="J500" s="371"/>
      <c r="K500" s="472"/>
      <c r="M500" s="334" t="s">
        <v>1095</v>
      </c>
      <c r="N500" s="18"/>
    </row>
    <row r="501" spans="1:14">
      <c r="D501" s="373"/>
      <c r="E501" s="25"/>
      <c r="F501" s="25"/>
      <c r="G501" s="1378"/>
      <c r="H501" s="477"/>
      <c r="I501" s="25"/>
      <c r="J501" s="372"/>
      <c r="K501" s="473"/>
      <c r="M501" s="79" t="s">
        <v>1096</v>
      </c>
      <c r="N501" s="23"/>
    </row>
    <row r="502" spans="1:14">
      <c r="D502" s="365" t="s">
        <v>778</v>
      </c>
      <c r="E502" s="24" t="s">
        <v>384</v>
      </c>
      <c r="F502" s="24" t="s">
        <v>316</v>
      </c>
      <c r="G502" s="57"/>
      <c r="H502" s="57"/>
      <c r="I502" s="24"/>
      <c r="J502" s="371"/>
      <c r="K502" s="472">
        <f>3*59</f>
        <v>177</v>
      </c>
      <c r="M502" t="s">
        <v>1124</v>
      </c>
    </row>
    <row r="503" spans="1:14">
      <c r="D503" s="379" t="s">
        <v>778</v>
      </c>
      <c r="E503" t="s">
        <v>829</v>
      </c>
      <c r="F503" t="s">
        <v>316</v>
      </c>
      <c r="J503" s="369"/>
      <c r="K503" s="723">
        <v>25</v>
      </c>
      <c r="M503" t="s">
        <v>1123</v>
      </c>
    </row>
    <row r="504" spans="1:14">
      <c r="D504" s="379" t="s">
        <v>778</v>
      </c>
      <c r="E504" t="s">
        <v>1128</v>
      </c>
      <c r="F504" t="s">
        <v>1127</v>
      </c>
      <c r="J504" s="369"/>
      <c r="K504" s="723">
        <v>34</v>
      </c>
    </row>
    <row r="505" spans="1:14">
      <c r="D505" s="379" t="s">
        <v>778</v>
      </c>
      <c r="E505" t="s">
        <v>382</v>
      </c>
      <c r="F505" t="s">
        <v>302</v>
      </c>
      <c r="J505" s="369">
        <v>100</v>
      </c>
      <c r="K505" s="723"/>
      <c r="M505" t="s">
        <v>1122</v>
      </c>
    </row>
    <row r="506" spans="1:14">
      <c r="D506" s="379" t="s">
        <v>778</v>
      </c>
      <c r="E506" t="s">
        <v>386</v>
      </c>
      <c r="F506" t="s">
        <v>1125</v>
      </c>
      <c r="J506" s="369">
        <v>50</v>
      </c>
      <c r="K506" s="723"/>
      <c r="M506" t="s">
        <v>1126</v>
      </c>
    </row>
    <row r="507" spans="1:14">
      <c r="D507" s="373" t="s">
        <v>778</v>
      </c>
      <c r="E507" s="25" t="s">
        <v>86</v>
      </c>
      <c r="F507" s="25" t="s">
        <v>1120</v>
      </c>
      <c r="G507" s="61"/>
      <c r="H507" s="61"/>
      <c r="I507" s="25"/>
      <c r="J507" s="372">
        <v>8</v>
      </c>
      <c r="K507" s="473"/>
      <c r="M507" t="s">
        <v>1121</v>
      </c>
    </row>
    <row r="508" spans="1:14">
      <c r="A508" s="154"/>
      <c r="B508" s="154"/>
      <c r="C508" s="154"/>
      <c r="D508" s="815" t="s">
        <v>1084</v>
      </c>
      <c r="E508" s="418" t="s">
        <v>1097</v>
      </c>
      <c r="F508" s="418" t="s">
        <v>1098</v>
      </c>
      <c r="G508" s="1229"/>
      <c r="H508" s="1264">
        <v>136</v>
      </c>
      <c r="I508" s="418"/>
      <c r="J508" s="816"/>
      <c r="K508" s="817"/>
      <c r="L508" s="154"/>
      <c r="M508" s="416" t="s">
        <v>1099</v>
      </c>
      <c r="N508" s="818"/>
    </row>
    <row r="509" spans="1:14">
      <c r="D509" s="366">
        <v>45155</v>
      </c>
      <c r="E509" s="63" t="s">
        <v>848</v>
      </c>
      <c r="F509" s="63" t="s">
        <v>1120</v>
      </c>
      <c r="G509" s="64"/>
      <c r="H509" s="64"/>
      <c r="I509" s="63"/>
      <c r="J509" s="376">
        <v>12</v>
      </c>
      <c r="K509" s="542"/>
      <c r="M509" t="s">
        <v>1132</v>
      </c>
    </row>
    <row r="510" spans="1:14">
      <c r="D510" s="366">
        <v>45160</v>
      </c>
      <c r="E510" s="63" t="s">
        <v>1135</v>
      </c>
      <c r="F510" s="63" t="s">
        <v>1127</v>
      </c>
      <c r="G510" s="64"/>
      <c r="H510" s="64"/>
      <c r="I510" s="63"/>
      <c r="J510" s="376"/>
      <c r="K510" s="542"/>
      <c r="M510" s="50" t="s">
        <v>1258</v>
      </c>
      <c r="N510" s="28"/>
    </row>
    <row r="511" spans="1:14">
      <c r="D511" s="366">
        <v>45189</v>
      </c>
      <c r="E511" s="63" t="s">
        <v>1273</v>
      </c>
      <c r="F511" s="63" t="s">
        <v>316</v>
      </c>
      <c r="G511" s="64"/>
      <c r="H511" s="64"/>
      <c r="I511" s="63"/>
      <c r="J511" s="376"/>
      <c r="K511" s="542">
        <v>7.9</v>
      </c>
      <c r="M511" t="s">
        <v>1274</v>
      </c>
    </row>
    <row r="512" spans="1:14">
      <c r="D512" s="366" t="s">
        <v>779</v>
      </c>
      <c r="E512" s="63" t="s">
        <v>829</v>
      </c>
      <c r="F512" s="63" t="s">
        <v>316</v>
      </c>
      <c r="G512" s="64"/>
      <c r="H512" s="64"/>
      <c r="I512" s="63"/>
      <c r="J512" s="376"/>
      <c r="K512" s="542">
        <v>33</v>
      </c>
      <c r="M512" t="s">
        <v>1257</v>
      </c>
    </row>
    <row r="513" spans="1:14">
      <c r="D513" s="365" t="s">
        <v>47</v>
      </c>
      <c r="E513" s="649" t="s">
        <v>1615</v>
      </c>
      <c r="F513" s="24" t="s">
        <v>302</v>
      </c>
      <c r="G513" s="318">
        <v>30</v>
      </c>
      <c r="H513" s="318"/>
      <c r="I513" s="24"/>
      <c r="J513" s="370"/>
      <c r="K513" s="542"/>
      <c r="M513" t="s">
        <v>1614</v>
      </c>
    </row>
    <row r="514" spans="1:14">
      <c r="D514" s="365">
        <v>45243</v>
      </c>
      <c r="E514" s="1195" t="s">
        <v>1259</v>
      </c>
      <c r="F514" s="24" t="s">
        <v>658</v>
      </c>
      <c r="G514" s="57"/>
      <c r="H514" s="57"/>
      <c r="I514" s="24"/>
      <c r="J514" s="383">
        <v>365</v>
      </c>
      <c r="K514" s="472"/>
      <c r="M514" t="s">
        <v>655</v>
      </c>
    </row>
    <row r="515" spans="1:14">
      <c r="D515" s="373"/>
      <c r="E515" s="25"/>
      <c r="F515" s="25" t="s">
        <v>1261</v>
      </c>
      <c r="G515" s="61"/>
      <c r="H515" s="61"/>
      <c r="I515" s="25"/>
      <c r="J515" s="384"/>
      <c r="K515" s="473">
        <v>150</v>
      </c>
      <c r="M515" t="s">
        <v>1260</v>
      </c>
    </row>
    <row r="516" spans="1:14">
      <c r="D516" s="366">
        <v>45247</v>
      </c>
      <c r="E516" s="63" t="s">
        <v>57</v>
      </c>
      <c r="F516" s="63" t="s">
        <v>1270</v>
      </c>
      <c r="G516" s="64"/>
      <c r="H516" s="64"/>
      <c r="I516" s="63"/>
      <c r="J516" s="370"/>
      <c r="K516" s="376"/>
      <c r="M516" t="s">
        <v>1271</v>
      </c>
    </row>
    <row r="517" spans="1:14">
      <c r="D517" s="379">
        <v>45259</v>
      </c>
      <c r="E517" t="s">
        <v>5</v>
      </c>
      <c r="F517" t="s">
        <v>1120</v>
      </c>
      <c r="J517" s="375">
        <v>67.2</v>
      </c>
      <c r="K517" s="723"/>
      <c r="M517" t="s">
        <v>1289</v>
      </c>
    </row>
    <row r="518" spans="1:14">
      <c r="D518" s="366">
        <v>45266</v>
      </c>
      <c r="E518" s="63" t="s">
        <v>6</v>
      </c>
      <c r="F518" s="63" t="s">
        <v>1293</v>
      </c>
      <c r="G518" s="64"/>
      <c r="H518" s="64"/>
      <c r="I518" s="63"/>
      <c r="J518" s="376"/>
      <c r="K518" s="542"/>
      <c r="M518" s="50" t="s">
        <v>1333</v>
      </c>
      <c r="N518" s="28"/>
    </row>
    <row r="519" spans="1:14">
      <c r="D519" s="366">
        <v>45633</v>
      </c>
      <c r="E519" s="63" t="s">
        <v>43</v>
      </c>
      <c r="F519" s="63" t="s">
        <v>1360</v>
      </c>
      <c r="G519" s="64"/>
      <c r="H519" s="64"/>
      <c r="I519" s="63"/>
      <c r="J519" s="376">
        <v>400</v>
      </c>
      <c r="K519" s="542"/>
      <c r="M519" s="50" t="s">
        <v>1361</v>
      </c>
      <c r="N519" s="28"/>
    </row>
    <row r="520" spans="1:14">
      <c r="D520" s="379">
        <v>45271</v>
      </c>
      <c r="E520" t="s">
        <v>829</v>
      </c>
      <c r="F520" t="s">
        <v>316</v>
      </c>
      <c r="J520" s="371"/>
      <c r="K520" s="472">
        <f>2.5*3.82*0.735</f>
        <v>7.0192499999999987</v>
      </c>
      <c r="M520" s="50" t="s">
        <v>1300</v>
      </c>
      <c r="N520" s="28"/>
    </row>
    <row r="521" spans="1:14">
      <c r="D521" s="366">
        <v>45638</v>
      </c>
      <c r="E521" s="1655" t="s">
        <v>114</v>
      </c>
      <c r="F521" s="63" t="s">
        <v>1959</v>
      </c>
      <c r="G521" s="64"/>
      <c r="H521" s="64"/>
      <c r="I521" s="63"/>
      <c r="J521" s="370"/>
      <c r="K521" s="542">
        <f>(2.439*4.1)*0.745</f>
        <v>7.4499255</v>
      </c>
      <c r="M521" s="50" t="s">
        <v>1352</v>
      </c>
      <c r="N521" s="28"/>
    </row>
    <row r="522" spans="1:14">
      <c r="D522" s="379" t="s">
        <v>148</v>
      </c>
      <c r="E522" t="s">
        <v>385</v>
      </c>
      <c r="F522" t="s">
        <v>1120</v>
      </c>
      <c r="J522" s="369">
        <f>+(752.5-190)*50/1000</f>
        <v>28.125</v>
      </c>
      <c r="K522" s="723"/>
      <c r="M522" s="334" t="s">
        <v>1377</v>
      </c>
      <c r="N522" s="18"/>
    </row>
    <row r="523" spans="1:14">
      <c r="D523" s="379" t="s">
        <v>148</v>
      </c>
      <c r="E523" t="s">
        <v>86</v>
      </c>
      <c r="F523" t="s">
        <v>1120</v>
      </c>
      <c r="J523" s="369">
        <f>+(93.3-25.6)*128/1000</f>
        <v>8.6655999999999977</v>
      </c>
      <c r="K523" s="723"/>
      <c r="M523" s="73" t="s">
        <v>1378</v>
      </c>
      <c r="N523" s="60"/>
    </row>
    <row r="524" spans="1:14">
      <c r="D524" s="379" t="s">
        <v>148</v>
      </c>
      <c r="E524" t="s">
        <v>1379</v>
      </c>
      <c r="F524" t="s">
        <v>1120</v>
      </c>
      <c r="J524" s="369">
        <f>+(334.6-274.6)*139.7/1000</f>
        <v>8.3819999999999997</v>
      </c>
      <c r="K524" s="723"/>
      <c r="M524" s="73" t="s">
        <v>1380</v>
      </c>
      <c r="N524" s="60"/>
    </row>
    <row r="525" spans="1:14">
      <c r="D525" s="379" t="s">
        <v>148</v>
      </c>
      <c r="E525" t="s">
        <v>829</v>
      </c>
      <c r="F525" t="s">
        <v>316</v>
      </c>
      <c r="J525" s="372"/>
      <c r="K525" s="473">
        <f>+(37.6-31.1)*3.23</f>
        <v>20.995000000000001</v>
      </c>
      <c r="M525" s="79" t="s">
        <v>1381</v>
      </c>
      <c r="N525" s="23"/>
    </row>
    <row r="526" spans="1:14">
      <c r="D526" s="1775" t="s">
        <v>780</v>
      </c>
      <c r="E526" s="1776" t="s">
        <v>2100</v>
      </c>
      <c r="F526" s="1776" t="s">
        <v>316</v>
      </c>
      <c r="G526" s="1777"/>
      <c r="H526" s="1777"/>
      <c r="I526" s="1778"/>
      <c r="J526" s="1779"/>
      <c r="K526" s="1780"/>
      <c r="M526" s="79" t="s">
        <v>2102</v>
      </c>
      <c r="N526" s="23"/>
    </row>
    <row r="527" spans="1:14">
      <c r="A527" s="154"/>
      <c r="B527" s="154"/>
      <c r="C527" s="154"/>
      <c r="D527" s="1790"/>
      <c r="E527" s="1791" t="s">
        <v>1106</v>
      </c>
      <c r="F527" s="1791" t="s">
        <v>1768</v>
      </c>
      <c r="G527" s="1792"/>
      <c r="H527" s="1793">
        <v>259.39999999999998</v>
      </c>
      <c r="I527" s="1794"/>
      <c r="J527" s="1795"/>
      <c r="K527" s="1795"/>
      <c r="L527" s="154"/>
      <c r="M527" s="416" t="s">
        <v>1769</v>
      </c>
      <c r="N527" s="818"/>
    </row>
    <row r="528" spans="1:14" ht="7" customHeight="1">
      <c r="A528" s="154"/>
      <c r="B528" s="154"/>
      <c r="C528" s="154"/>
      <c r="D528" s="1711"/>
      <c r="E528" s="25"/>
      <c r="F528" s="25"/>
      <c r="G528" s="61"/>
      <c r="H528" s="61"/>
      <c r="I528" s="25"/>
      <c r="J528" s="384"/>
      <c r="K528" s="384"/>
      <c r="N528" s="154"/>
    </row>
    <row r="529" spans="4:14">
      <c r="D529" s="373">
        <v>45709</v>
      </c>
      <c r="E529" s="25" t="s">
        <v>1272</v>
      </c>
      <c r="F529" s="25" t="s">
        <v>2045</v>
      </c>
      <c r="G529" s="61"/>
      <c r="H529" s="61"/>
      <c r="I529" s="25"/>
      <c r="J529" s="378"/>
      <c r="K529" s="473"/>
      <c r="M529" s="50" t="s">
        <v>2046</v>
      </c>
      <c r="N529" s="28"/>
    </row>
    <row r="530" spans="4:14" ht="7" customHeight="1">
      <c r="G530" s="385"/>
      <c r="H530" s="385"/>
      <c r="J530" s="385"/>
      <c r="K530" s="385"/>
    </row>
    <row r="531" spans="4:14">
      <c r="F531" s="39" t="s">
        <v>920</v>
      </c>
      <c r="G531" s="653">
        <f>SUM(G478:G530)</f>
        <v>532</v>
      </c>
      <c r="H531" s="390">
        <f>SUM(H478:H530)</f>
        <v>1286</v>
      </c>
      <c r="I531" s="322"/>
      <c r="J531" s="653">
        <f>SUM(J478:J530)</f>
        <v>1047.3726000000001</v>
      </c>
      <c r="K531" s="390">
        <f>SUM(K478:K530)</f>
        <v>2980.1045009999998</v>
      </c>
    </row>
    <row r="533" spans="4:14">
      <c r="G533" s="2081" t="s">
        <v>330</v>
      </c>
      <c r="H533" s="2082"/>
      <c r="I533" s="154"/>
      <c r="J533" s="2083" t="s">
        <v>331</v>
      </c>
      <c r="K533" s="2084"/>
    </row>
    <row r="534" spans="4:14">
      <c r="G534" s="391" t="s">
        <v>175</v>
      </c>
      <c r="H534" s="392" t="s">
        <v>340</v>
      </c>
      <c r="I534" s="393"/>
      <c r="J534" s="394" t="s">
        <v>175</v>
      </c>
      <c r="K534" s="395" t="s">
        <v>176</v>
      </c>
    </row>
    <row r="535" spans="4:14">
      <c r="D535" s="39" t="s">
        <v>44</v>
      </c>
      <c r="E535" s="518">
        <v>2024</v>
      </c>
      <c r="F535" s="45" t="s">
        <v>204</v>
      </c>
      <c r="G535" s="637" t="s">
        <v>191</v>
      </c>
      <c r="H535" s="638" t="s">
        <v>192</v>
      </c>
      <c r="I535" s="396"/>
      <c r="J535" s="639" t="s">
        <v>191</v>
      </c>
      <c r="K535" s="640" t="s">
        <v>192</v>
      </c>
      <c r="M535" s="11" t="s">
        <v>48</v>
      </c>
    </row>
    <row r="536" spans="4:14" ht="7" customHeight="1">
      <c r="J536" s="369"/>
      <c r="K536" s="375"/>
    </row>
    <row r="537" spans="4:14">
      <c r="D537" s="388" t="s">
        <v>663</v>
      </c>
      <c r="E537" s="46" t="s">
        <v>1569</v>
      </c>
      <c r="F537" s="46"/>
      <c r="G537" s="318"/>
      <c r="H537" s="318"/>
      <c r="I537" s="46"/>
      <c r="J537" s="376"/>
      <c r="K537" s="376">
        <v>363.1</v>
      </c>
      <c r="M537" t="s">
        <v>1499</v>
      </c>
    </row>
    <row r="538" spans="4:14">
      <c r="D538" s="365">
        <v>45303</v>
      </c>
      <c r="E538" s="650" t="s">
        <v>1588</v>
      </c>
      <c r="F538" s="447" t="s">
        <v>1467</v>
      </c>
      <c r="G538" s="1517"/>
      <c r="H538" s="1517"/>
      <c r="I538" s="447"/>
      <c r="J538" s="1518">
        <v>200</v>
      </c>
      <c r="K538" s="722"/>
      <c r="M538" s="334" t="s">
        <v>1363</v>
      </c>
      <c r="N538" s="18"/>
    </row>
    <row r="539" spans="4:14">
      <c r="D539" s="379"/>
      <c r="E539" s="650" t="s">
        <v>1589</v>
      </c>
      <c r="F539" s="650" t="s">
        <v>1465</v>
      </c>
      <c r="G539" s="1363"/>
      <c r="H539" s="1363"/>
      <c r="I539" s="650"/>
      <c r="J539" s="1519"/>
      <c r="K539" s="651">
        <v>279</v>
      </c>
      <c r="M539" s="73" t="s">
        <v>1362</v>
      </c>
      <c r="N539" s="60"/>
    </row>
    <row r="540" spans="4:14">
      <c r="D540" s="373">
        <v>45366</v>
      </c>
      <c r="E540" s="650" t="s">
        <v>1589</v>
      </c>
      <c r="F540" s="721" t="s">
        <v>1466</v>
      </c>
      <c r="G540" s="1514"/>
      <c r="H540" s="1514"/>
      <c r="I540" s="721"/>
      <c r="J540" s="1520"/>
      <c r="K540" s="652">
        <f>348.6*0.735</f>
        <v>256.221</v>
      </c>
      <c r="M540" s="79"/>
      <c r="N540" s="23"/>
    </row>
    <row r="541" spans="4:14">
      <c r="D541" s="365">
        <v>45322</v>
      </c>
      <c r="E541" s="24" t="s">
        <v>829</v>
      </c>
      <c r="F541" s="24" t="s">
        <v>1373</v>
      </c>
      <c r="G541" s="57"/>
      <c r="H541" s="57"/>
      <c r="I541" s="24"/>
      <c r="J541" s="376"/>
      <c r="K541" s="542">
        <v>61</v>
      </c>
      <c r="M541" t="s">
        <v>1573</v>
      </c>
    </row>
    <row r="542" spans="4:14">
      <c r="D542" s="373">
        <v>45330</v>
      </c>
      <c r="E542" s="1194" t="s">
        <v>1374</v>
      </c>
      <c r="F542" s="25" t="s">
        <v>658</v>
      </c>
      <c r="G542" s="61"/>
      <c r="H542" s="61"/>
      <c r="I542" s="25"/>
      <c r="J542" s="427">
        <v>150</v>
      </c>
      <c r="K542" s="1148"/>
      <c r="M542" t="s">
        <v>1375</v>
      </c>
    </row>
    <row r="543" spans="4:14">
      <c r="D543" s="373">
        <v>45352</v>
      </c>
      <c r="E543" s="1391" t="s">
        <v>1602</v>
      </c>
      <c r="F543" s="25" t="s">
        <v>1988</v>
      </c>
      <c r="G543" s="61"/>
      <c r="H543" s="61"/>
      <c r="I543" s="25"/>
      <c r="J543" s="1379"/>
      <c r="K543" s="427"/>
      <c r="M543" t="s">
        <v>1386</v>
      </c>
    </row>
    <row r="544" spans="4:14">
      <c r="D544" s="373">
        <v>45370</v>
      </c>
      <c r="E544" s="721" t="s">
        <v>1813</v>
      </c>
      <c r="F544" s="721" t="s">
        <v>1594</v>
      </c>
      <c r="G544" s="1514"/>
      <c r="H544" s="1514"/>
      <c r="I544" s="721"/>
      <c r="J544" s="1515">
        <v>1000</v>
      </c>
      <c r="K544" s="1516"/>
      <c r="M544" t="s">
        <v>1595</v>
      </c>
    </row>
    <row r="545" spans="4:14">
      <c r="D545" s="365" t="s">
        <v>761</v>
      </c>
      <c r="E545" s="24" t="s">
        <v>385</v>
      </c>
      <c r="F545" s="24" t="s">
        <v>1120</v>
      </c>
      <c r="G545" s="57"/>
      <c r="H545" s="57"/>
      <c r="I545" s="24"/>
      <c r="J545" s="1384"/>
      <c r="K545" s="1385"/>
      <c r="M545" s="334"/>
      <c r="N545" s="18"/>
    </row>
    <row r="546" spans="4:14">
      <c r="D546" s="379" t="s">
        <v>761</v>
      </c>
      <c r="E546" t="s">
        <v>1020</v>
      </c>
      <c r="F546" t="s">
        <v>1120</v>
      </c>
      <c r="J546" s="1386">
        <f>(3.911-0.695)*104.76</f>
        <v>336.90816000000001</v>
      </c>
      <c r="K546" s="1387"/>
      <c r="M546" s="73" t="s">
        <v>1597</v>
      </c>
      <c r="N546" s="60"/>
    </row>
    <row r="547" spans="4:14">
      <c r="D547" s="373" t="s">
        <v>761</v>
      </c>
      <c r="E547" s="25" t="s">
        <v>1128</v>
      </c>
      <c r="F547" s="25" t="s">
        <v>1120</v>
      </c>
      <c r="G547" s="61"/>
      <c r="H547" s="61"/>
      <c r="I547" s="25"/>
      <c r="J547" s="1380"/>
      <c r="K547" s="1148"/>
      <c r="M547" s="79" t="s">
        <v>1574</v>
      </c>
      <c r="N547" s="23"/>
    </row>
    <row r="548" spans="4:14">
      <c r="D548" s="373" t="s">
        <v>761</v>
      </c>
      <c r="E548" s="1196" t="s">
        <v>1616</v>
      </c>
      <c r="F548" s="25" t="s">
        <v>316</v>
      </c>
      <c r="G548" s="318"/>
      <c r="H548" s="1168">
        <v>126.7</v>
      </c>
      <c r="I548" s="25"/>
      <c r="J548" s="1147"/>
      <c r="K548" s="1148"/>
      <c r="M548" t="s">
        <v>1565</v>
      </c>
    </row>
    <row r="549" spans="4:14">
      <c r="D549" s="373" t="s">
        <v>761</v>
      </c>
      <c r="E549" s="25" t="s">
        <v>3</v>
      </c>
      <c r="F549" s="25" t="s">
        <v>120</v>
      </c>
      <c r="G549" s="61"/>
      <c r="H549" s="61"/>
      <c r="I549" s="25"/>
      <c r="J549" s="427">
        <v>110.2</v>
      </c>
      <c r="K549" s="1149"/>
    </row>
    <row r="550" spans="4:14">
      <c r="D550" s="373" t="s">
        <v>761</v>
      </c>
      <c r="E550" s="25" t="s">
        <v>1567</v>
      </c>
      <c r="F550" s="25" t="s">
        <v>1568</v>
      </c>
      <c r="G550" s="61"/>
      <c r="H550" s="61"/>
      <c r="I550" s="25"/>
      <c r="J550" s="427">
        <v>451</v>
      </c>
      <c r="K550" s="1149"/>
    </row>
    <row r="551" spans="4:14">
      <c r="D551" s="373">
        <v>46166</v>
      </c>
      <c r="E551" s="25" t="s">
        <v>59</v>
      </c>
      <c r="F551" s="25" t="s">
        <v>2305</v>
      </c>
      <c r="G551" s="61"/>
      <c r="H551" s="61"/>
      <c r="I551" s="25"/>
      <c r="J551" s="427"/>
      <c r="K551" s="1149"/>
      <c r="M551" t="s">
        <v>2306</v>
      </c>
    </row>
    <row r="552" spans="4:14">
      <c r="D552" s="379">
        <v>45454</v>
      </c>
      <c r="E552" t="s">
        <v>1592</v>
      </c>
      <c r="F552" t="s">
        <v>316</v>
      </c>
      <c r="J552" s="1386"/>
      <c r="K552" s="1387">
        <f>(29.59-21.8)*2.34*0.73</f>
        <v>13.306877999999998</v>
      </c>
      <c r="M552" t="s">
        <v>1593</v>
      </c>
    </row>
    <row r="553" spans="4:14">
      <c r="D553" s="365">
        <v>45461</v>
      </c>
      <c r="E553" s="447" t="s">
        <v>1813</v>
      </c>
      <c r="F553" s="447" t="s">
        <v>1824</v>
      </c>
      <c r="G553" s="1517"/>
      <c r="H553" s="1517"/>
      <c r="I553" s="447"/>
      <c r="J553" s="1518">
        <v>600</v>
      </c>
      <c r="K553" s="722"/>
      <c r="M553" s="455" t="s">
        <v>1811</v>
      </c>
    </row>
    <row r="554" spans="4:14">
      <c r="D554" s="379"/>
      <c r="E554" s="650" t="s">
        <v>1814</v>
      </c>
      <c r="F554" s="650" t="s">
        <v>1467</v>
      </c>
      <c r="G554" s="1363"/>
      <c r="H554" s="1363"/>
      <c r="I554" s="650"/>
      <c r="J554" s="1519">
        <v>150</v>
      </c>
      <c r="K554" s="651"/>
      <c r="M554" s="1388" t="s">
        <v>1812</v>
      </c>
    </row>
    <row r="555" spans="4:14">
      <c r="D555" s="373"/>
      <c r="E555" s="721" t="s">
        <v>1590</v>
      </c>
      <c r="F555" s="721" t="s">
        <v>1596</v>
      </c>
      <c r="G555" s="1514"/>
      <c r="H555" s="1514"/>
      <c r="I555" s="721"/>
      <c r="J555" s="1520"/>
      <c r="K555" s="652">
        <v>500</v>
      </c>
      <c r="M555" s="455" t="s">
        <v>1591</v>
      </c>
    </row>
    <row r="556" spans="4:14">
      <c r="D556" s="365" t="s">
        <v>778</v>
      </c>
      <c r="E556" s="24" t="s">
        <v>1020</v>
      </c>
      <c r="F556" s="24" t="s">
        <v>1120</v>
      </c>
      <c r="G556" s="57"/>
      <c r="H556" s="57"/>
      <c r="I556" s="18"/>
      <c r="J556" s="1384">
        <f>(0.695-0.04)*128</f>
        <v>83.839999999999989</v>
      </c>
      <c r="K556" s="1385"/>
      <c r="M556" s="334" t="s">
        <v>1638</v>
      </c>
      <c r="N556" s="18"/>
    </row>
    <row r="557" spans="4:14">
      <c r="D557" s="379" t="s">
        <v>778</v>
      </c>
      <c r="E557" t="s">
        <v>70</v>
      </c>
      <c r="F557" t="s">
        <v>302</v>
      </c>
      <c r="I557" s="60"/>
      <c r="J557" s="1386">
        <f>1.9*18</f>
        <v>34.199999999999996</v>
      </c>
      <c r="K557" s="1387"/>
      <c r="M557" s="73" t="s">
        <v>1633</v>
      </c>
      <c r="N557" s="60"/>
    </row>
    <row r="558" spans="4:14">
      <c r="D558" s="379" t="s">
        <v>778</v>
      </c>
      <c r="E558" t="s">
        <v>1128</v>
      </c>
      <c r="F558" t="s">
        <v>316</v>
      </c>
      <c r="I558" s="60"/>
      <c r="J558" s="369"/>
      <c r="K558" s="723">
        <f>0.087*465</f>
        <v>40.454999999999998</v>
      </c>
      <c r="M558" s="73" t="s">
        <v>1636</v>
      </c>
      <c r="N558" s="60"/>
    </row>
    <row r="559" spans="4:14">
      <c r="D559" s="373" t="s">
        <v>778</v>
      </c>
      <c r="E559" s="25" t="s">
        <v>1632</v>
      </c>
      <c r="F559" s="25" t="s">
        <v>1627</v>
      </c>
      <c r="G559" s="61"/>
      <c r="H559" s="61"/>
      <c r="I559" s="23"/>
      <c r="J559" s="372"/>
      <c r="K559" s="473">
        <f>4.224*6.99</f>
        <v>29.525760000000002</v>
      </c>
      <c r="M559" s="79" t="s">
        <v>1637</v>
      </c>
      <c r="N559" s="23"/>
    </row>
    <row r="560" spans="4:14">
      <c r="D560" s="373" t="s">
        <v>778</v>
      </c>
      <c r="E560" s="25" t="s">
        <v>1643</v>
      </c>
      <c r="F560" s="25" t="s">
        <v>302</v>
      </c>
      <c r="G560" s="61"/>
      <c r="H560" s="61"/>
      <c r="I560" s="25"/>
      <c r="J560" s="384"/>
      <c r="K560" s="473"/>
      <c r="M560" t="s">
        <v>1644</v>
      </c>
    </row>
    <row r="561" spans="4:14">
      <c r="D561" s="373" t="s">
        <v>1640</v>
      </c>
      <c r="E561" s="25" t="s">
        <v>1592</v>
      </c>
      <c r="F561" s="25" t="s">
        <v>316</v>
      </c>
      <c r="G561" s="61"/>
      <c r="H561" s="61"/>
      <c r="I561" s="25"/>
      <c r="J561" s="1150"/>
      <c r="K561" s="1149">
        <f>+(33.4-21.8)*2.35*0.728</f>
        <v>19.845279999999995</v>
      </c>
      <c r="M561" t="s">
        <v>1639</v>
      </c>
    </row>
    <row r="562" spans="4:14">
      <c r="D562" s="365">
        <v>45488</v>
      </c>
      <c r="E562" s="24" t="s">
        <v>7</v>
      </c>
      <c r="F562" s="24" t="s">
        <v>302</v>
      </c>
      <c r="G562" s="57"/>
      <c r="H562" s="57"/>
      <c r="I562" s="24"/>
      <c r="J562" s="1384">
        <f>60*13*0.725</f>
        <v>565.5</v>
      </c>
      <c r="K562" s="1385"/>
      <c r="M562" t="s">
        <v>1625</v>
      </c>
    </row>
    <row r="563" spans="4:14">
      <c r="D563" s="373"/>
      <c r="E563" s="25" t="s">
        <v>1626</v>
      </c>
      <c r="F563" s="25" t="s">
        <v>1627</v>
      </c>
      <c r="G563" s="61"/>
      <c r="H563" s="61"/>
      <c r="I563" s="25"/>
      <c r="J563" s="1380">
        <f>0.454*13*16</f>
        <v>94.432000000000002</v>
      </c>
      <c r="K563" s="1148"/>
      <c r="M563" t="s">
        <v>1628</v>
      </c>
    </row>
    <row r="564" spans="4:14">
      <c r="D564" s="373">
        <v>45495</v>
      </c>
      <c r="E564" s="25" t="s">
        <v>1624</v>
      </c>
      <c r="F564" s="25" t="s">
        <v>1853</v>
      </c>
      <c r="G564" s="61"/>
      <c r="H564" s="61"/>
      <c r="I564" s="25"/>
      <c r="J564" s="1150"/>
      <c r="K564" s="1149">
        <v>880.6</v>
      </c>
      <c r="M564" t="s">
        <v>1664</v>
      </c>
    </row>
    <row r="565" spans="4:14">
      <c r="D565" s="373" t="s">
        <v>1969</v>
      </c>
      <c r="E565" s="1391" t="s">
        <v>1972</v>
      </c>
      <c r="F565" s="25" t="s">
        <v>1970</v>
      </c>
      <c r="G565" s="61"/>
      <c r="H565" s="61"/>
      <c r="I565" s="25"/>
      <c r="J565" s="1147"/>
      <c r="K565" s="1148">
        <v>21</v>
      </c>
      <c r="M565" t="s">
        <v>1987</v>
      </c>
    </row>
    <row r="566" spans="4:14">
      <c r="D566" s="373"/>
      <c r="E566" s="25"/>
      <c r="F566" s="25" t="s">
        <v>1971</v>
      </c>
      <c r="G566" s="61"/>
      <c r="H566" s="61"/>
      <c r="I566" s="25"/>
      <c r="J566" s="1147"/>
      <c r="K566" s="1148"/>
    </row>
    <row r="567" spans="4:14">
      <c r="D567" s="373" t="s">
        <v>51</v>
      </c>
      <c r="E567" s="25" t="s">
        <v>2</v>
      </c>
      <c r="F567" s="25" t="s">
        <v>1568</v>
      </c>
      <c r="G567" s="61"/>
      <c r="H567" s="61"/>
      <c r="I567" s="25"/>
      <c r="J567" s="1398">
        <v>126</v>
      </c>
      <c r="K567" s="1148"/>
    </row>
    <row r="568" spans="4:14">
      <c r="D568" s="379">
        <v>45512</v>
      </c>
      <c r="E568" s="1654" t="s">
        <v>114</v>
      </c>
      <c r="F568" t="s">
        <v>1959</v>
      </c>
      <c r="J568" s="1521"/>
      <c r="K568" s="1385">
        <v>67</v>
      </c>
      <c r="M568" t="s">
        <v>1957</v>
      </c>
    </row>
    <row r="569" spans="4:14">
      <c r="D569" s="365" t="s">
        <v>779</v>
      </c>
      <c r="E569" s="24" t="s">
        <v>1632</v>
      </c>
      <c r="F569" s="24" t="s">
        <v>316</v>
      </c>
      <c r="G569" s="57"/>
      <c r="H569" s="57"/>
      <c r="I569" s="24"/>
      <c r="J569" s="1384"/>
      <c r="K569" s="1385">
        <f>2.09*7.3</f>
        <v>15.256999999999998</v>
      </c>
      <c r="M569" s="334"/>
      <c r="N569" s="18"/>
    </row>
    <row r="570" spans="4:14">
      <c r="D570" s="379" t="s">
        <v>779</v>
      </c>
      <c r="E570" t="s">
        <v>1634</v>
      </c>
      <c r="F570" t="s">
        <v>302</v>
      </c>
      <c r="J570" s="1386">
        <v>50</v>
      </c>
      <c r="K570" s="1387"/>
      <c r="M570" s="73"/>
      <c r="N570" s="60"/>
    </row>
    <row r="571" spans="4:14">
      <c r="D571" s="379" t="s">
        <v>779</v>
      </c>
      <c r="E571" t="s">
        <v>1730</v>
      </c>
      <c r="F571" t="s">
        <v>302</v>
      </c>
      <c r="J571" s="1386">
        <v>31</v>
      </c>
      <c r="K571" s="1387"/>
      <c r="M571" s="73"/>
      <c r="N571" s="60"/>
    </row>
    <row r="572" spans="4:14">
      <c r="D572" s="373" t="s">
        <v>779</v>
      </c>
      <c r="E572" s="25" t="s">
        <v>71</v>
      </c>
      <c r="F572" s="25" t="s">
        <v>302</v>
      </c>
      <c r="G572" s="61"/>
      <c r="H572" s="61"/>
      <c r="I572" s="25"/>
      <c r="J572" s="1380">
        <v>20</v>
      </c>
      <c r="K572" s="1148"/>
      <c r="M572" s="79"/>
      <c r="N572" s="23"/>
    </row>
    <row r="573" spans="4:14">
      <c r="D573" s="373" t="s">
        <v>779</v>
      </c>
      <c r="E573" s="25" t="s">
        <v>1827</v>
      </c>
      <c r="F573" s="25" t="s">
        <v>316</v>
      </c>
      <c r="G573" s="61"/>
      <c r="H573" s="61"/>
      <c r="I573" s="25"/>
      <c r="J573" s="1147"/>
      <c r="K573" s="1148">
        <v>100.4</v>
      </c>
      <c r="M573" t="s">
        <v>1828</v>
      </c>
    </row>
    <row r="574" spans="4:14">
      <c r="D574" s="366" t="s">
        <v>47</v>
      </c>
      <c r="E574" s="63" t="s">
        <v>829</v>
      </c>
      <c r="F574" s="63" t="s">
        <v>1963</v>
      </c>
      <c r="G574" s="64"/>
      <c r="H574" s="64"/>
      <c r="I574" s="63"/>
      <c r="J574" s="1150"/>
      <c r="K574" s="1149">
        <v>150</v>
      </c>
      <c r="M574" s="60" t="s">
        <v>1961</v>
      </c>
    </row>
    <row r="575" spans="4:14">
      <c r="D575" s="379" t="s">
        <v>47</v>
      </c>
      <c r="E575" s="650" t="s">
        <v>1815</v>
      </c>
      <c r="F575" s="650" t="s">
        <v>1808</v>
      </c>
      <c r="G575" s="1363"/>
      <c r="H575" s="1363"/>
      <c r="I575" s="650"/>
      <c r="J575" s="1519">
        <f>450*0.695</f>
        <v>312.75</v>
      </c>
      <c r="K575" s="651"/>
      <c r="M575" s="334" t="s">
        <v>1809</v>
      </c>
      <c r="N575" s="18"/>
    </row>
    <row r="576" spans="4:14">
      <c r="D576" s="379" t="s">
        <v>47</v>
      </c>
      <c r="E576" s="650" t="s">
        <v>1816</v>
      </c>
      <c r="F576" s="650" t="s">
        <v>1808</v>
      </c>
      <c r="G576" s="1363"/>
      <c r="H576" s="1363"/>
      <c r="I576" s="650"/>
      <c r="J576" s="1519">
        <f>250*0.695</f>
        <v>173.75</v>
      </c>
      <c r="K576" s="651"/>
      <c r="M576" s="79" t="s">
        <v>1810</v>
      </c>
      <c r="N576" s="23"/>
    </row>
    <row r="577" spans="4:14">
      <c r="D577" s="366" t="s">
        <v>50</v>
      </c>
      <c r="E577" s="451" t="s">
        <v>1806</v>
      </c>
      <c r="F577" s="451" t="s">
        <v>1807</v>
      </c>
      <c r="G577" s="1538"/>
      <c r="H577" s="1538"/>
      <c r="I577" s="451"/>
      <c r="J577" s="1515"/>
      <c r="K577" s="1516">
        <f>250*0.695</f>
        <v>173.75</v>
      </c>
      <c r="M577" s="50" t="s">
        <v>1865</v>
      </c>
      <c r="N577" s="28"/>
    </row>
    <row r="578" spans="4:14">
      <c r="D578" s="365">
        <v>46004</v>
      </c>
      <c r="E578" s="24" t="s">
        <v>1175</v>
      </c>
      <c r="F578" s="24" t="s">
        <v>1805</v>
      </c>
      <c r="G578" s="57"/>
      <c r="H578" s="57">
        <v>383</v>
      </c>
      <c r="I578" s="24"/>
      <c r="J578" s="1521"/>
      <c r="K578" s="1385"/>
      <c r="M578" t="s">
        <v>1993</v>
      </c>
    </row>
    <row r="579" spans="4:14">
      <c r="D579" s="365" t="s">
        <v>2154</v>
      </c>
      <c r="E579" s="1196" t="s">
        <v>2156</v>
      </c>
      <c r="F579" s="24" t="s">
        <v>2155</v>
      </c>
      <c r="G579" s="318"/>
      <c r="H579" s="318">
        <v>165</v>
      </c>
      <c r="I579" s="24"/>
      <c r="J579" s="1521"/>
      <c r="K579" s="1385"/>
      <c r="M579" s="50" t="s">
        <v>2160</v>
      </c>
      <c r="N579" s="28"/>
    </row>
    <row r="580" spans="4:14">
      <c r="D580" s="365" t="s">
        <v>148</v>
      </c>
      <c r="E580" s="24" t="s">
        <v>1843</v>
      </c>
      <c r="F580" s="24" t="s">
        <v>1627</v>
      </c>
      <c r="G580" s="57"/>
      <c r="H580" s="57"/>
      <c r="I580" s="18"/>
      <c r="J580" s="1384"/>
      <c r="K580" s="1385">
        <v>122</v>
      </c>
      <c r="M580" s="334"/>
      <c r="N580" s="18"/>
    </row>
    <row r="581" spans="4:14">
      <c r="D581" s="379" t="s">
        <v>148</v>
      </c>
      <c r="E581" t="s">
        <v>1750</v>
      </c>
      <c r="F581" t="s">
        <v>316</v>
      </c>
      <c r="I581" s="60"/>
      <c r="J581" s="1386"/>
      <c r="K581" s="1387">
        <v>78.7</v>
      </c>
      <c r="M581" s="73"/>
      <c r="N581" s="60"/>
    </row>
    <row r="582" spans="4:14">
      <c r="D582" s="379" t="s">
        <v>148</v>
      </c>
      <c r="E582" t="s">
        <v>1845</v>
      </c>
      <c r="F582" t="s">
        <v>1627</v>
      </c>
      <c r="I582" s="60"/>
      <c r="J582" s="1386"/>
      <c r="K582" s="1387">
        <v>76</v>
      </c>
      <c r="M582" s="73"/>
      <c r="N582" s="60"/>
    </row>
    <row r="583" spans="4:14">
      <c r="D583" s="379" t="s">
        <v>148</v>
      </c>
      <c r="E583" t="s">
        <v>1846</v>
      </c>
      <c r="F583" t="s">
        <v>1627</v>
      </c>
      <c r="I583" s="60"/>
      <c r="J583" s="1386"/>
      <c r="K583" s="1387">
        <v>68</v>
      </c>
      <c r="M583" s="73"/>
      <c r="N583" s="60"/>
    </row>
    <row r="584" spans="4:14">
      <c r="D584" s="379" t="s">
        <v>148</v>
      </c>
      <c r="E584" t="s">
        <v>72</v>
      </c>
      <c r="F584" t="s">
        <v>302</v>
      </c>
      <c r="I584" s="60"/>
      <c r="J584" s="1386">
        <v>52</v>
      </c>
      <c r="K584" s="1387"/>
      <c r="M584" s="79"/>
      <c r="N584" s="23"/>
    </row>
    <row r="585" spans="4:14">
      <c r="D585" s="366"/>
      <c r="E585" s="63" t="s">
        <v>1860</v>
      </c>
      <c r="F585" s="63"/>
      <c r="G585" s="318">
        <v>112</v>
      </c>
      <c r="H585" s="318"/>
      <c r="I585" s="63"/>
      <c r="J585" s="1150"/>
      <c r="K585" s="1149"/>
      <c r="M585" s="50" t="s">
        <v>1859</v>
      </c>
      <c r="N585" s="28"/>
    </row>
    <row r="586" spans="4:14">
      <c r="D586" s="366"/>
      <c r="E586" s="63" t="s">
        <v>1135</v>
      </c>
      <c r="F586" s="63" t="s">
        <v>316</v>
      </c>
      <c r="G586" s="64"/>
      <c r="H586" s="64"/>
      <c r="I586" s="63"/>
      <c r="J586" s="1150"/>
      <c r="K586" s="1149">
        <v>82.6</v>
      </c>
      <c r="M586" s="50" t="s">
        <v>1949</v>
      </c>
      <c r="N586" s="28"/>
    </row>
    <row r="587" spans="4:14">
      <c r="D587" s="366"/>
      <c r="E587" s="63" t="s">
        <v>1851</v>
      </c>
      <c r="F587" s="63" t="s">
        <v>316</v>
      </c>
      <c r="G587" s="64"/>
      <c r="H587" s="64"/>
      <c r="I587" s="63"/>
      <c r="J587" s="1150"/>
      <c r="K587" s="1149">
        <f>765-325.7</f>
        <v>439.3</v>
      </c>
      <c r="M587" s="50" t="s">
        <v>1852</v>
      </c>
      <c r="N587" s="28"/>
    </row>
    <row r="588" spans="4:14">
      <c r="D588" s="366"/>
      <c r="E588" s="1527" t="s">
        <v>1849</v>
      </c>
      <c r="F588" s="63" t="s">
        <v>1120</v>
      </c>
      <c r="G588" s="64"/>
      <c r="H588" s="64"/>
      <c r="I588" s="63"/>
      <c r="J588" s="1150"/>
      <c r="K588" s="1149"/>
      <c r="M588" s="50" t="s">
        <v>1848</v>
      </c>
      <c r="N588" s="28"/>
    </row>
    <row r="589" spans="4:14">
      <c r="D589" s="379"/>
      <c r="E589" t="s">
        <v>1855</v>
      </c>
      <c r="G589" s="335"/>
      <c r="H589" s="335">
        <v>216</v>
      </c>
      <c r="J589" s="435"/>
      <c r="K589" s="1387"/>
      <c r="M589" s="50" t="s">
        <v>1854</v>
      </c>
      <c r="N589" s="28"/>
    </row>
    <row r="590" spans="4:14">
      <c r="D590" s="366"/>
      <c r="E590" s="63" t="s">
        <v>2346</v>
      </c>
      <c r="F590" s="63"/>
      <c r="G590" s="64"/>
      <c r="H590" s="64"/>
      <c r="I590" s="63"/>
      <c r="J590" s="1150"/>
      <c r="K590" s="1149">
        <v>80</v>
      </c>
      <c r="M590" s="79" t="s">
        <v>2347</v>
      </c>
      <c r="N590" s="18"/>
    </row>
    <row r="591" spans="4:14">
      <c r="D591" s="1775" t="s">
        <v>780</v>
      </c>
      <c r="E591" s="1776" t="s">
        <v>2100</v>
      </c>
      <c r="F591" s="1776" t="s">
        <v>316</v>
      </c>
      <c r="G591" s="1777"/>
      <c r="H591" s="1777"/>
      <c r="I591" s="1778"/>
      <c r="J591" s="1779"/>
      <c r="K591" s="1780">
        <v>90</v>
      </c>
      <c r="M591" s="79" t="s">
        <v>2101</v>
      </c>
      <c r="N591" s="18"/>
    </row>
    <row r="592" spans="4:14">
      <c r="D592" s="1790"/>
      <c r="E592" s="1791" t="s">
        <v>1106</v>
      </c>
      <c r="F592" s="1791" t="s">
        <v>1768</v>
      </c>
      <c r="G592" s="1792"/>
      <c r="H592" s="1793">
        <v>221.1</v>
      </c>
      <c r="I592" s="1794"/>
      <c r="J592" s="1795"/>
      <c r="K592" s="1795"/>
      <c r="M592" s="1796" t="s">
        <v>2103</v>
      </c>
      <c r="N592" s="18"/>
    </row>
    <row r="593" spans="4:14">
      <c r="D593" s="365"/>
      <c r="E593" s="24" t="s">
        <v>1856</v>
      </c>
      <c r="F593" s="24"/>
      <c r="G593" s="57"/>
      <c r="H593" s="57"/>
      <c r="I593" s="24"/>
      <c r="J593" s="1521"/>
      <c r="K593" s="1385">
        <v>240.4</v>
      </c>
      <c r="M593" s="334" t="s">
        <v>1964</v>
      </c>
      <c r="N593" s="18"/>
    </row>
    <row r="594" spans="4:14">
      <c r="D594" s="373"/>
      <c r="E594" s="25" t="s">
        <v>1857</v>
      </c>
      <c r="F594" s="25"/>
      <c r="G594" s="61"/>
      <c r="H594" s="61"/>
      <c r="I594" s="25"/>
      <c r="J594" s="1147"/>
      <c r="K594" s="1148">
        <v>1588.4</v>
      </c>
      <c r="M594" s="79" t="s">
        <v>1858</v>
      </c>
      <c r="N594" s="23"/>
    </row>
    <row r="595" spans="4:14" ht="7" customHeight="1">
      <c r="D595" s="1711"/>
      <c r="E595" s="25"/>
      <c r="F595" s="25"/>
      <c r="G595" s="61"/>
      <c r="H595" s="61"/>
      <c r="I595" s="25"/>
      <c r="J595" s="1147"/>
      <c r="K595" s="1147"/>
    </row>
    <row r="596" spans="4:14">
      <c r="D596" s="379" t="s">
        <v>46</v>
      </c>
      <c r="E596" t="s">
        <v>2047</v>
      </c>
      <c r="F596" t="s">
        <v>2049</v>
      </c>
      <c r="J596" s="435"/>
      <c r="K596" s="1387"/>
      <c r="M596" s="50" t="s">
        <v>2048</v>
      </c>
      <c r="N596" s="28"/>
    </row>
    <row r="597" spans="4:14">
      <c r="D597" s="365" t="s">
        <v>755</v>
      </c>
      <c r="E597" s="24" t="s">
        <v>1818</v>
      </c>
      <c r="F597" s="24" t="s">
        <v>1820</v>
      </c>
      <c r="G597" s="57"/>
      <c r="H597" s="57"/>
      <c r="I597" s="24"/>
      <c r="J597" s="1521"/>
      <c r="K597" s="1385"/>
      <c r="M597" s="334" t="s">
        <v>1819</v>
      </c>
      <c r="N597" s="18"/>
    </row>
    <row r="598" spans="4:14">
      <c r="D598" s="365" t="s">
        <v>755</v>
      </c>
      <c r="E598" s="24" t="s">
        <v>1829</v>
      </c>
      <c r="F598" s="24" t="s">
        <v>1830</v>
      </c>
      <c r="G598" s="57"/>
      <c r="H598" s="57"/>
      <c r="I598" s="24"/>
      <c r="J598" s="1521"/>
      <c r="K598" s="1385"/>
      <c r="M598" s="334" t="s">
        <v>1831</v>
      </c>
      <c r="N598" s="18"/>
    </row>
    <row r="599" spans="4:14">
      <c r="D599" s="373" t="s">
        <v>49</v>
      </c>
      <c r="E599" s="25" t="s">
        <v>1832</v>
      </c>
      <c r="F599" s="25" t="s">
        <v>1833</v>
      </c>
      <c r="G599" s="61"/>
      <c r="H599" s="61"/>
      <c r="I599" s="25"/>
      <c r="J599" s="1147"/>
      <c r="K599" s="1148"/>
      <c r="M599" s="79" t="s">
        <v>1834</v>
      </c>
      <c r="N599" s="23"/>
    </row>
    <row r="600" spans="4:14">
      <c r="G600" s="385"/>
      <c r="H600" s="385"/>
      <c r="J600" s="385"/>
      <c r="K600" s="385"/>
    </row>
    <row r="601" spans="4:14">
      <c r="F601" s="39" t="s">
        <v>1387</v>
      </c>
      <c r="G601" s="653">
        <f>SUM(G537:G600)</f>
        <v>112</v>
      </c>
      <c r="H601" s="390">
        <f>SUM(H537:H600)</f>
        <v>1111.8</v>
      </c>
      <c r="I601" s="322"/>
      <c r="J601" s="653">
        <f>SUM(J537:J600)</f>
        <v>4541.5801599999995</v>
      </c>
      <c r="K601" s="390">
        <f>SUM(K537:K600)</f>
        <v>5835.8609180000003</v>
      </c>
    </row>
    <row r="603" spans="4:14">
      <c r="G603" s="2081" t="s">
        <v>330</v>
      </c>
      <c r="H603" s="2082"/>
      <c r="I603" s="154"/>
      <c r="J603" s="2083" t="s">
        <v>331</v>
      </c>
      <c r="K603" s="2084"/>
    </row>
    <row r="604" spans="4:14">
      <c r="G604" s="391" t="s">
        <v>175</v>
      </c>
      <c r="H604" s="392" t="s">
        <v>340</v>
      </c>
      <c r="I604" s="393"/>
      <c r="J604" s="394" t="s">
        <v>175</v>
      </c>
      <c r="K604" s="395" t="s">
        <v>176</v>
      </c>
    </row>
    <row r="605" spans="4:14">
      <c r="D605" s="39" t="s">
        <v>44</v>
      </c>
      <c r="E605" s="1512" t="s">
        <v>1798</v>
      </c>
      <c r="F605" s="45" t="s">
        <v>204</v>
      </c>
      <c r="G605" s="637" t="s">
        <v>191</v>
      </c>
      <c r="H605" s="638" t="s">
        <v>192</v>
      </c>
      <c r="I605" s="396"/>
      <c r="J605" s="639" t="s">
        <v>191</v>
      </c>
      <c r="K605" s="640" t="s">
        <v>192</v>
      </c>
      <c r="M605" s="11" t="s">
        <v>48</v>
      </c>
    </row>
    <row r="606" spans="4:14" ht="7" customHeight="1">
      <c r="J606" s="369"/>
      <c r="K606" s="375"/>
    </row>
    <row r="607" spans="4:14">
      <c r="D607" s="388" t="s">
        <v>663</v>
      </c>
      <c r="E607" s="46" t="s">
        <v>1569</v>
      </c>
      <c r="F607" s="46"/>
      <c r="G607" s="318"/>
      <c r="H607" s="318"/>
      <c r="I607" s="46"/>
      <c r="J607" s="376"/>
      <c r="K607" s="376">
        <v>343.6</v>
      </c>
      <c r="M607" t="s">
        <v>1992</v>
      </c>
    </row>
    <row r="608" spans="4:14">
      <c r="D608" s="388" t="s">
        <v>663</v>
      </c>
      <c r="E608" s="46" t="s">
        <v>1842</v>
      </c>
      <c r="F608" s="46" t="s">
        <v>1627</v>
      </c>
      <c r="G608" s="318"/>
      <c r="H608" s="318"/>
      <c r="I608" s="46"/>
      <c r="J608" s="376"/>
      <c r="K608" s="376">
        <v>835</v>
      </c>
    </row>
    <row r="609" spans="4:14">
      <c r="D609" s="388" t="s">
        <v>663</v>
      </c>
      <c r="E609" s="46" t="s">
        <v>2</v>
      </c>
      <c r="F609" s="46" t="s">
        <v>1817</v>
      </c>
      <c r="G609" s="318"/>
      <c r="H609" s="318"/>
      <c r="I609" s="46"/>
      <c r="J609" s="376">
        <v>190.8</v>
      </c>
      <c r="K609" s="376"/>
      <c r="M609" t="s">
        <v>2106</v>
      </c>
    </row>
    <row r="610" spans="4:14">
      <c r="D610" s="398" t="s">
        <v>663</v>
      </c>
      <c r="E610" s="1659" t="s">
        <v>1974</v>
      </c>
      <c r="F610" s="116" t="s">
        <v>1989</v>
      </c>
      <c r="G610" s="335"/>
      <c r="H610" s="335"/>
      <c r="I610" s="116"/>
      <c r="J610" s="376"/>
      <c r="K610" s="376"/>
      <c r="M610" t="s">
        <v>1968</v>
      </c>
    </row>
    <row r="611" spans="4:14">
      <c r="D611" s="398">
        <v>45698</v>
      </c>
      <c r="E611" s="116" t="s">
        <v>1835</v>
      </c>
      <c r="F611" s="116" t="s">
        <v>1866</v>
      </c>
      <c r="G611" s="335"/>
      <c r="H611" s="335"/>
      <c r="I611" s="116"/>
      <c r="J611" s="376"/>
      <c r="K611" s="376"/>
      <c r="M611" t="s">
        <v>1836</v>
      </c>
    </row>
    <row r="612" spans="4:14">
      <c r="D612" s="398">
        <v>45740</v>
      </c>
      <c r="E612" s="116" t="s">
        <v>1835</v>
      </c>
      <c r="F612" s="116" t="s">
        <v>1967</v>
      </c>
      <c r="G612" s="335"/>
      <c r="H612" s="335"/>
      <c r="I612" s="116"/>
      <c r="J612" s="376"/>
      <c r="K612" s="376">
        <f>110*1.08</f>
        <v>118.80000000000001</v>
      </c>
      <c r="M612" t="s">
        <v>1947</v>
      </c>
    </row>
    <row r="613" spans="4:14">
      <c r="D613" s="365">
        <v>45740</v>
      </c>
      <c r="E613" s="24" t="s">
        <v>1946</v>
      </c>
      <c r="F613" s="24" t="s">
        <v>241</v>
      </c>
      <c r="G613" s="57"/>
      <c r="H613" s="57"/>
      <c r="I613" s="18"/>
      <c r="J613" s="472"/>
      <c r="K613" s="377">
        <v>-108.6</v>
      </c>
      <c r="M613" t="s">
        <v>2245</v>
      </c>
    </row>
    <row r="614" spans="4:14">
      <c r="D614" s="365">
        <v>45744</v>
      </c>
      <c r="E614" s="24" t="s">
        <v>2104</v>
      </c>
      <c r="F614" s="24" t="s">
        <v>302</v>
      </c>
      <c r="G614" s="57"/>
      <c r="H614" s="57"/>
      <c r="I614" s="18"/>
      <c r="J614" s="472">
        <v>327.10000000000002</v>
      </c>
      <c r="K614" s="377"/>
      <c r="M614" t="s">
        <v>2170</v>
      </c>
    </row>
    <row r="615" spans="4:14">
      <c r="D615" s="366">
        <v>45747</v>
      </c>
      <c r="E615" s="451" t="s">
        <v>1806</v>
      </c>
      <c r="F615" s="451" t="s">
        <v>1864</v>
      </c>
      <c r="G615" s="1538"/>
      <c r="H615" s="1538"/>
      <c r="I615" s="976"/>
      <c r="J615" s="1515"/>
      <c r="K615" s="1516">
        <f>420.5*0.692</f>
        <v>290.98599999999999</v>
      </c>
      <c r="M615" s="50" t="s">
        <v>2142</v>
      </c>
      <c r="N615" s="28"/>
    </row>
    <row r="616" spans="4:14">
      <c r="D616" s="366" t="s">
        <v>761</v>
      </c>
      <c r="E616" s="63" t="s">
        <v>1981</v>
      </c>
      <c r="F616" s="63" t="s">
        <v>316</v>
      </c>
      <c r="G616" s="64"/>
      <c r="H616" s="64"/>
      <c r="I616" s="28"/>
      <c r="J616" s="1385"/>
      <c r="K616" s="1513">
        <f>9*11</f>
        <v>99</v>
      </c>
      <c r="M616" t="s">
        <v>1982</v>
      </c>
    </row>
    <row r="617" spans="4:14">
      <c r="D617" s="365" t="s">
        <v>761</v>
      </c>
      <c r="E617" s="24" t="s">
        <v>1</v>
      </c>
      <c r="F617" s="24" t="s">
        <v>316</v>
      </c>
      <c r="G617" s="57"/>
      <c r="H617" s="57"/>
      <c r="I617" s="18"/>
      <c r="J617" s="1513"/>
      <c r="K617" s="1513">
        <v>157</v>
      </c>
      <c r="M617" s="334" t="s">
        <v>1979</v>
      </c>
      <c r="N617" s="18"/>
    </row>
    <row r="618" spans="4:14">
      <c r="D618" s="373" t="s">
        <v>46</v>
      </c>
      <c r="E618" s="25" t="s">
        <v>1</v>
      </c>
      <c r="F618" s="25" t="s">
        <v>1983</v>
      </c>
      <c r="G618" s="61"/>
      <c r="H618" s="61"/>
      <c r="I618" s="23"/>
      <c r="J618" s="1398"/>
      <c r="K618" s="1398">
        <v>75</v>
      </c>
      <c r="M618" s="79" t="s">
        <v>2010</v>
      </c>
      <c r="N618" s="23"/>
    </row>
    <row r="619" spans="4:14">
      <c r="D619" s="404" t="s">
        <v>46</v>
      </c>
      <c r="E619" s="69" t="s">
        <v>2</v>
      </c>
      <c r="F619" s="69" t="s">
        <v>1568</v>
      </c>
      <c r="G619" s="333"/>
      <c r="H619" s="333"/>
      <c r="I619" s="69"/>
      <c r="J619" s="377"/>
      <c r="K619" s="377">
        <v>142</v>
      </c>
      <c r="M619" t="s">
        <v>1986</v>
      </c>
    </row>
    <row r="620" spans="4:14">
      <c r="D620" s="366" t="s">
        <v>46</v>
      </c>
      <c r="E620" s="1655" t="s">
        <v>114</v>
      </c>
      <c r="F620" s="63" t="s">
        <v>316</v>
      </c>
      <c r="G620" s="318"/>
      <c r="H620" s="318"/>
      <c r="I620" s="28"/>
      <c r="J620" s="376"/>
      <c r="K620" s="376">
        <f>75*0.71</f>
        <v>53.25</v>
      </c>
      <c r="M620" t="s">
        <v>2065</v>
      </c>
    </row>
    <row r="621" spans="4:14">
      <c r="D621" s="365" t="s">
        <v>46</v>
      </c>
      <c r="E621" s="447" t="s">
        <v>1815</v>
      </c>
      <c r="F621" s="447" t="s">
        <v>1808</v>
      </c>
      <c r="G621" s="1517"/>
      <c r="H621" s="1517"/>
      <c r="I621" s="447"/>
      <c r="J621" s="1518">
        <v>500</v>
      </c>
      <c r="K621" s="722"/>
      <c r="M621" s="334" t="s">
        <v>1984</v>
      </c>
      <c r="N621" s="18"/>
    </row>
    <row r="622" spans="4:14">
      <c r="D622" s="373" t="s">
        <v>46</v>
      </c>
      <c r="E622" s="721" t="s">
        <v>1816</v>
      </c>
      <c r="F622" s="721" t="s">
        <v>1808</v>
      </c>
      <c r="G622" s="1514"/>
      <c r="H622" s="1514"/>
      <c r="I622" s="721"/>
      <c r="J622" s="1520">
        <v>400</v>
      </c>
      <c r="K622" s="652"/>
      <c r="M622" s="79" t="s">
        <v>1985</v>
      </c>
      <c r="N622" s="23"/>
    </row>
    <row r="623" spans="4:14">
      <c r="D623" s="379" t="s">
        <v>778</v>
      </c>
      <c r="E623" t="s">
        <v>2</v>
      </c>
      <c r="F623" t="s">
        <v>1817</v>
      </c>
      <c r="J623" s="1386">
        <v>26.4</v>
      </c>
      <c r="K623" s="1387"/>
      <c r="M623" s="73" t="s">
        <v>2105</v>
      </c>
      <c r="N623" s="60"/>
    </row>
    <row r="624" spans="4:14">
      <c r="D624" s="365" t="s">
        <v>778</v>
      </c>
      <c r="E624" s="24" t="s">
        <v>2120</v>
      </c>
      <c r="F624" s="24" t="s">
        <v>1627</v>
      </c>
      <c r="G624" s="57"/>
      <c r="H624" s="57"/>
      <c r="I624" s="24"/>
      <c r="J624" s="1384"/>
      <c r="K624" s="1385">
        <f>0.0729*567.94</f>
        <v>41.402826000000005</v>
      </c>
      <c r="M624" s="334" t="s">
        <v>2121</v>
      </c>
      <c r="N624" s="18"/>
    </row>
    <row r="625" spans="4:14">
      <c r="D625" s="379" t="s">
        <v>778</v>
      </c>
      <c r="E625" t="s">
        <v>1750</v>
      </c>
      <c r="F625" t="s">
        <v>316</v>
      </c>
      <c r="J625" s="1386"/>
      <c r="K625" s="1387">
        <f>1.52*25.8</f>
        <v>39.216000000000001</v>
      </c>
      <c r="M625" s="73" t="s">
        <v>2118</v>
      </c>
      <c r="N625" s="60"/>
    </row>
    <row r="626" spans="4:14">
      <c r="D626" s="379" t="s">
        <v>778</v>
      </c>
      <c r="E626" t="s">
        <v>0</v>
      </c>
      <c r="F626" t="s">
        <v>1817</v>
      </c>
      <c r="J626" s="1386">
        <f>5.94*3.8</f>
        <v>22.571999999999999</v>
      </c>
      <c r="K626" s="1387"/>
      <c r="M626" s="73" t="s">
        <v>2119</v>
      </c>
      <c r="N626" s="60"/>
    </row>
    <row r="627" spans="4:14">
      <c r="D627" s="373" t="s">
        <v>778</v>
      </c>
      <c r="E627" s="25" t="s">
        <v>92</v>
      </c>
      <c r="F627" s="25" t="s">
        <v>1817</v>
      </c>
      <c r="G627" s="61"/>
      <c r="H627" s="61"/>
      <c r="I627" s="25"/>
      <c r="J627" s="1380">
        <f>0.048*226</f>
        <v>10.848000000000001</v>
      </c>
      <c r="K627" s="1148"/>
      <c r="M627" s="79" t="s">
        <v>2122</v>
      </c>
      <c r="N627" s="23"/>
    </row>
    <row r="628" spans="4:14">
      <c r="D628" s="366">
        <v>45842</v>
      </c>
      <c r="E628" s="63" t="s">
        <v>1835</v>
      </c>
      <c r="F628" s="63" t="s">
        <v>1866</v>
      </c>
      <c r="G628" s="64"/>
      <c r="H628" s="64"/>
      <c r="I628" s="28"/>
      <c r="J628" s="1379"/>
      <c r="K628" s="1149"/>
      <c r="M628" s="79" t="s">
        <v>2028</v>
      </c>
      <c r="N628" s="23"/>
    </row>
    <row r="629" spans="4:14">
      <c r="D629" s="366">
        <v>45852</v>
      </c>
      <c r="E629" s="63" t="s">
        <v>1</v>
      </c>
      <c r="F629" s="63" t="s">
        <v>316</v>
      </c>
      <c r="G629" s="64"/>
      <c r="H629" s="64"/>
      <c r="I629" s="63"/>
      <c r="J629" s="1379"/>
      <c r="K629" s="1149"/>
      <c r="M629" s="50" t="s">
        <v>2062</v>
      </c>
      <c r="N629" s="28"/>
    </row>
    <row r="630" spans="4:14">
      <c r="D630" s="366">
        <v>45855</v>
      </c>
      <c r="E630" s="63" t="s">
        <v>626</v>
      </c>
      <c r="F630" s="63" t="s">
        <v>302</v>
      </c>
      <c r="G630" s="64"/>
      <c r="H630" s="64"/>
      <c r="I630" s="63"/>
      <c r="J630" s="1379"/>
      <c r="K630" s="1149"/>
      <c r="M630" s="50" t="s">
        <v>2063</v>
      </c>
      <c r="N630" s="28"/>
    </row>
    <row r="631" spans="4:14">
      <c r="D631" s="365">
        <v>45880</v>
      </c>
      <c r="E631" s="447" t="s">
        <v>1815</v>
      </c>
      <c r="F631" s="447" t="s">
        <v>1808</v>
      </c>
      <c r="G631" s="1517"/>
      <c r="H631" s="1517"/>
      <c r="I631" s="447"/>
      <c r="J631" s="1518">
        <f>400*0.725</f>
        <v>290</v>
      </c>
      <c r="K631" s="722"/>
      <c r="M631" s="334" t="s">
        <v>2111</v>
      </c>
      <c r="N631" s="18"/>
    </row>
    <row r="632" spans="4:14">
      <c r="D632" s="373">
        <v>45880</v>
      </c>
      <c r="E632" s="721" t="s">
        <v>1816</v>
      </c>
      <c r="F632" s="721" t="s">
        <v>1808</v>
      </c>
      <c r="G632" s="1514"/>
      <c r="H632" s="1514"/>
      <c r="I632" s="721"/>
      <c r="J632" s="1520">
        <f>300*0.725</f>
        <v>217.5</v>
      </c>
      <c r="K632" s="652"/>
      <c r="M632" s="79" t="s">
        <v>2112</v>
      </c>
      <c r="N632" s="23"/>
    </row>
    <row r="633" spans="4:14">
      <c r="D633" s="366">
        <v>45898</v>
      </c>
      <c r="E633" s="451" t="s">
        <v>1806</v>
      </c>
      <c r="F633" s="451" t="s">
        <v>1864</v>
      </c>
      <c r="G633" s="1538"/>
      <c r="H633" s="1538"/>
      <c r="I633" s="976"/>
      <c r="J633" s="1515"/>
      <c r="K633" s="1516">
        <f>250*0.728</f>
        <v>182</v>
      </c>
      <c r="M633" s="50" t="s">
        <v>2141</v>
      </c>
      <c r="N633" s="28"/>
    </row>
    <row r="634" spans="4:14">
      <c r="D634" s="365">
        <v>45903</v>
      </c>
      <c r="E634" s="1659" t="s">
        <v>2153</v>
      </c>
      <c r="F634" s="24" t="s">
        <v>316</v>
      </c>
      <c r="G634" s="57"/>
      <c r="H634" s="57"/>
      <c r="I634" s="18"/>
      <c r="J634" s="1513"/>
      <c r="K634" s="1513">
        <f>(230*23.2)*0.00331</f>
        <v>17.66216</v>
      </c>
      <c r="M634" s="50" t="s">
        <v>2152</v>
      </c>
      <c r="N634" s="28"/>
    </row>
    <row r="635" spans="4:14">
      <c r="D635" s="1781">
        <v>45930</v>
      </c>
      <c r="E635" s="1782" t="s">
        <v>2100</v>
      </c>
      <c r="F635" s="1782" t="s">
        <v>316</v>
      </c>
      <c r="G635" s="1783"/>
      <c r="H635" s="1783"/>
      <c r="I635" s="1782"/>
      <c r="J635" s="1784"/>
      <c r="K635" s="1918">
        <v>800</v>
      </c>
      <c r="M635" s="50" t="s">
        <v>2215</v>
      </c>
      <c r="N635" s="28"/>
    </row>
    <row r="636" spans="4:14">
      <c r="D636" s="365" t="s">
        <v>779</v>
      </c>
      <c r="E636" s="24" t="s">
        <v>0</v>
      </c>
      <c r="F636" s="24" t="s">
        <v>1817</v>
      </c>
      <c r="G636" s="57"/>
      <c r="H636" s="57"/>
      <c r="I636" s="24"/>
      <c r="J636" s="1384">
        <f>5.39*3.8</f>
        <v>20.481999999999999</v>
      </c>
      <c r="K636" s="1385"/>
      <c r="M636" s="73" t="s">
        <v>2225</v>
      </c>
      <c r="N636" s="60"/>
    </row>
    <row r="637" spans="4:14">
      <c r="D637" s="379" t="s">
        <v>779</v>
      </c>
      <c r="E637" t="s">
        <v>2120</v>
      </c>
      <c r="F637" t="s">
        <v>1817</v>
      </c>
      <c r="J637" s="1386">
        <f>0.0147*612</f>
        <v>8.9963999999999995</v>
      </c>
      <c r="K637" s="1387"/>
      <c r="M637" s="73" t="s">
        <v>2227</v>
      </c>
      <c r="N637" s="60"/>
    </row>
    <row r="638" spans="4:14">
      <c r="D638" s="379" t="s">
        <v>779</v>
      </c>
      <c r="E638" t="s">
        <v>1750</v>
      </c>
      <c r="F638" t="s">
        <v>316</v>
      </c>
      <c r="J638" s="1386"/>
      <c r="K638" s="1387">
        <f>0.219*26</f>
        <v>5.694</v>
      </c>
      <c r="M638" s="73" t="s">
        <v>2226</v>
      </c>
      <c r="N638" s="60"/>
    </row>
    <row r="639" spans="4:14">
      <c r="D639" s="379" t="s">
        <v>779</v>
      </c>
      <c r="E639" t="s">
        <v>91</v>
      </c>
      <c r="F639" t="s">
        <v>316</v>
      </c>
      <c r="J639" s="1386"/>
      <c r="K639" s="1387">
        <f>0.239*25.5</f>
        <v>6.0945</v>
      </c>
      <c r="M639" s="73" t="s">
        <v>2229</v>
      </c>
      <c r="N639" s="60"/>
    </row>
    <row r="640" spans="4:14">
      <c r="D640" s="373" t="s">
        <v>779</v>
      </c>
      <c r="E640" s="25" t="s">
        <v>88</v>
      </c>
      <c r="F640" s="25" t="s">
        <v>316</v>
      </c>
      <c r="G640" s="61"/>
      <c r="H640" s="61"/>
      <c r="I640" s="25"/>
      <c r="J640" s="1380"/>
      <c r="K640" s="1148">
        <f>0.2*22.1</f>
        <v>4.4200000000000008</v>
      </c>
      <c r="M640" s="73" t="s">
        <v>2228</v>
      </c>
      <c r="N640" s="60"/>
    </row>
    <row r="641" spans="4:14">
      <c r="D641" s="404">
        <v>45943</v>
      </c>
      <c r="E641" t="s">
        <v>2171</v>
      </c>
      <c r="F641" t="s">
        <v>302</v>
      </c>
      <c r="J641" s="1386"/>
      <c r="K641" s="1387"/>
      <c r="M641" s="334" t="s">
        <v>2341</v>
      </c>
      <c r="N641" s="18"/>
    </row>
    <row r="642" spans="4:14">
      <c r="D642" s="399"/>
      <c r="E642" s="25" t="s">
        <v>2175</v>
      </c>
      <c r="F642" s="25" t="s">
        <v>2173</v>
      </c>
      <c r="G642" s="61"/>
      <c r="H642" s="61"/>
      <c r="I642" s="25"/>
      <c r="J642" s="1380"/>
      <c r="K642" s="1148"/>
      <c r="M642" s="79" t="s">
        <v>2340</v>
      </c>
      <c r="N642" s="23"/>
    </row>
    <row r="643" spans="4:14">
      <c r="D643" s="399">
        <v>45968</v>
      </c>
      <c r="E643" s="25" t="s">
        <v>6</v>
      </c>
      <c r="F643" s="25" t="s">
        <v>2243</v>
      </c>
      <c r="G643" s="61"/>
      <c r="H643" s="61"/>
      <c r="I643" s="25"/>
      <c r="J643" s="1380"/>
      <c r="K643" s="1148"/>
      <c r="M643" s="79" t="s">
        <v>2244</v>
      </c>
      <c r="N643" s="23"/>
    </row>
    <row r="644" spans="4:14">
      <c r="D644" s="388">
        <v>45985</v>
      </c>
      <c r="E644" s="50" t="s">
        <v>2230</v>
      </c>
      <c r="F644" s="63"/>
      <c r="G644" s="64"/>
      <c r="H644" s="64"/>
      <c r="I644" s="28"/>
      <c r="J644" s="1379"/>
      <c r="K644" s="1149"/>
      <c r="M644" s="50" t="s">
        <v>2231</v>
      </c>
      <c r="N644" s="28"/>
    </row>
    <row r="645" spans="4:14">
      <c r="D645" s="366">
        <v>45996</v>
      </c>
      <c r="E645" s="63" t="s">
        <v>829</v>
      </c>
      <c r="F645" s="63" t="s">
        <v>1817</v>
      </c>
      <c r="G645" s="64"/>
      <c r="H645" s="64"/>
      <c r="I645" s="28"/>
      <c r="J645" s="1379">
        <v>316</v>
      </c>
      <c r="K645" s="1149"/>
      <c r="M645" s="73" t="s">
        <v>2234</v>
      </c>
    </row>
    <row r="646" spans="4:14">
      <c r="D646" s="366" t="s">
        <v>148</v>
      </c>
      <c r="E646" s="46" t="s">
        <v>2</v>
      </c>
      <c r="F646" s="46" t="s">
        <v>1568</v>
      </c>
      <c r="G646" s="318"/>
      <c r="H646" s="318"/>
      <c r="I646" s="50"/>
      <c r="J646" s="376"/>
      <c r="K646" s="376">
        <v>64.8</v>
      </c>
      <c r="M646" s="50" t="s">
        <v>2168</v>
      </c>
      <c r="N646" s="28"/>
    </row>
    <row r="647" spans="4:14">
      <c r="D647" s="365" t="s">
        <v>148</v>
      </c>
      <c r="E647" s="24" t="s">
        <v>2241</v>
      </c>
      <c r="F647" s="24" t="s">
        <v>1568</v>
      </c>
      <c r="G647" s="318"/>
      <c r="H647" s="318"/>
      <c r="I647" s="24"/>
      <c r="J647" s="376"/>
      <c r="K647" s="376"/>
      <c r="M647" s="50" t="s">
        <v>2242</v>
      </c>
      <c r="N647" s="28"/>
    </row>
    <row r="648" spans="4:14">
      <c r="D648" s="365" t="s">
        <v>148</v>
      </c>
      <c r="E648" s="24" t="s">
        <v>1632</v>
      </c>
      <c r="F648" s="24" t="s">
        <v>316</v>
      </c>
      <c r="G648" s="318"/>
      <c r="H648" s="318"/>
      <c r="I648" s="24"/>
      <c r="J648" s="376"/>
      <c r="K648" s="376">
        <f>31.9*4.6</f>
        <v>146.73999999999998</v>
      </c>
      <c r="M648" s="50" t="s">
        <v>2240</v>
      </c>
      <c r="N648" s="28"/>
    </row>
    <row r="649" spans="4:14">
      <c r="D649" s="365"/>
      <c r="E649" s="24" t="s">
        <v>2264</v>
      </c>
      <c r="F649" s="24" t="s">
        <v>316</v>
      </c>
      <c r="G649" s="64"/>
      <c r="H649" s="64"/>
      <c r="I649" s="24"/>
      <c r="J649" s="367"/>
      <c r="K649" s="542">
        <f>(237.9-215.5)*1.85</f>
        <v>41.440000000000012</v>
      </c>
      <c r="M649" s="79" t="s">
        <v>2350</v>
      </c>
      <c r="N649" s="28"/>
    </row>
    <row r="650" spans="4:14">
      <c r="D650" s="365"/>
      <c r="E650" s="24" t="s">
        <v>2</v>
      </c>
      <c r="F650" s="24" t="s">
        <v>1817</v>
      </c>
      <c r="G650" s="64"/>
      <c r="H650" s="64"/>
      <c r="I650" s="24"/>
      <c r="J650" s="367">
        <f>9*3.5</f>
        <v>31.5</v>
      </c>
      <c r="K650" s="542"/>
      <c r="M650" s="79" t="s">
        <v>2351</v>
      </c>
      <c r="N650" s="28"/>
    </row>
    <row r="651" spans="4:14">
      <c r="D651" s="366"/>
      <c r="E651" s="63" t="s">
        <v>2348</v>
      </c>
      <c r="F651" s="63"/>
      <c r="G651" s="64"/>
      <c r="H651" s="64"/>
      <c r="I651" s="63"/>
      <c r="J651" s="1150"/>
      <c r="K651" s="1149">
        <v>16</v>
      </c>
      <c r="M651" s="79" t="s">
        <v>2349</v>
      </c>
      <c r="N651" s="28"/>
    </row>
    <row r="652" spans="4:14">
      <c r="D652" s="365" t="s">
        <v>2154</v>
      </c>
      <c r="E652" s="1196" t="s">
        <v>2157</v>
      </c>
      <c r="F652" s="24" t="s">
        <v>2158</v>
      </c>
      <c r="G652" s="318"/>
      <c r="H652" s="318">
        <v>165</v>
      </c>
      <c r="I652" s="24"/>
      <c r="J652" s="1521"/>
      <c r="K652" s="1385"/>
      <c r="M652" s="50" t="s">
        <v>2159</v>
      </c>
      <c r="N652" s="28"/>
    </row>
    <row r="653" spans="4:14">
      <c r="D653" s="366">
        <v>46022</v>
      </c>
      <c r="E653" s="451" t="s">
        <v>1806</v>
      </c>
      <c r="F653" s="451" t="s">
        <v>1864</v>
      </c>
      <c r="G653" s="1538"/>
      <c r="H653" s="1538"/>
      <c r="I653" s="976"/>
      <c r="J653" s="1515"/>
      <c r="K653" s="1516">
        <f>300*0.7238</f>
        <v>217.14</v>
      </c>
      <c r="M653" s="50" t="s">
        <v>2235</v>
      </c>
      <c r="N653" s="28"/>
    </row>
    <row r="654" spans="4:14">
      <c r="D654" s="366"/>
      <c r="E654" s="63"/>
      <c r="F654" s="63"/>
      <c r="G654" s="64"/>
      <c r="H654" s="64"/>
      <c r="I654" s="63"/>
      <c r="J654" s="1379"/>
      <c r="K654" s="1149"/>
      <c r="M654" s="50"/>
      <c r="N654" s="28"/>
    </row>
    <row r="655" spans="4:14" ht="7" customHeight="1">
      <c r="D655" s="1712"/>
      <c r="E655" s="24"/>
      <c r="F655" s="24"/>
      <c r="G655" s="57"/>
      <c r="H655" s="57"/>
      <c r="I655" s="24"/>
      <c r="J655" s="1521"/>
      <c r="K655" s="1521"/>
    </row>
    <row r="656" spans="4:14">
      <c r="D656" s="365" t="s">
        <v>663</v>
      </c>
      <c r="E656" s="24" t="s">
        <v>1800</v>
      </c>
      <c r="F656" s="24" t="s">
        <v>1821</v>
      </c>
      <c r="G656" s="57"/>
      <c r="H656" s="642"/>
      <c r="J656" s="371"/>
      <c r="K656" s="472"/>
      <c r="M656" s="334" t="s">
        <v>1802</v>
      </c>
      <c r="N656" s="18"/>
    </row>
    <row r="657" spans="4:14">
      <c r="D657" s="379" t="s">
        <v>663</v>
      </c>
      <c r="E657" t="s">
        <v>1272</v>
      </c>
      <c r="F657" t="s">
        <v>1822</v>
      </c>
      <c r="H657" s="476"/>
      <c r="J657" s="369"/>
      <c r="K657" s="723"/>
      <c r="M657" s="73" t="s">
        <v>1803</v>
      </c>
      <c r="N657" s="60"/>
    </row>
    <row r="658" spans="4:14">
      <c r="D658" s="373" t="s">
        <v>663</v>
      </c>
      <c r="E658" s="25" t="s">
        <v>1801</v>
      </c>
      <c r="F658" s="25" t="s">
        <v>1823</v>
      </c>
      <c r="G658" s="61"/>
      <c r="H658" s="477"/>
      <c r="J658" s="372"/>
      <c r="K658" s="473"/>
      <c r="M658" s="79" t="s">
        <v>1804</v>
      </c>
      <c r="N658" s="23"/>
    </row>
    <row r="659" spans="4:14">
      <c r="D659" s="366" t="s">
        <v>161</v>
      </c>
      <c r="E659" s="63" t="s">
        <v>2050</v>
      </c>
      <c r="F659" s="63" t="s">
        <v>2051</v>
      </c>
      <c r="G659" s="64"/>
      <c r="H659" s="1168"/>
      <c r="J659" s="372"/>
      <c r="K659" s="473"/>
      <c r="M659" s="50" t="s">
        <v>2052</v>
      </c>
      <c r="N659" s="28"/>
    </row>
    <row r="660" spans="4:14">
      <c r="D660" s="373"/>
      <c r="E660" s="25" t="s">
        <v>2053</v>
      </c>
      <c r="F660" s="25" t="s">
        <v>2054</v>
      </c>
      <c r="G660" s="61"/>
      <c r="H660" s="477"/>
      <c r="J660" s="372"/>
      <c r="K660" s="473"/>
      <c r="M660" s="50" t="s">
        <v>2055</v>
      </c>
      <c r="N660" s="28"/>
    </row>
    <row r="661" spans="4:14">
      <c r="D661" s="373" t="s">
        <v>1044</v>
      </c>
      <c r="E661" s="25" t="s">
        <v>2056</v>
      </c>
      <c r="F661" s="25" t="s">
        <v>2057</v>
      </c>
      <c r="G661" s="61"/>
      <c r="H661" s="477"/>
      <c r="J661" s="372"/>
      <c r="K661" s="473"/>
      <c r="M661" s="50" t="s">
        <v>2058</v>
      </c>
      <c r="N661" s="28"/>
    </row>
    <row r="662" spans="4:14">
      <c r="D662" s="366" t="s">
        <v>755</v>
      </c>
      <c r="E662" s="63" t="s">
        <v>2059</v>
      </c>
      <c r="F662" s="63" t="s">
        <v>2060</v>
      </c>
      <c r="G662" s="64"/>
      <c r="H662" s="1168"/>
      <c r="J662" s="372"/>
      <c r="K662" s="473"/>
      <c r="M662" s="50" t="s">
        <v>2061</v>
      </c>
      <c r="N662" s="28"/>
    </row>
    <row r="663" spans="4:14">
      <c r="D663" s="366" t="s">
        <v>148</v>
      </c>
      <c r="E663" s="63" t="s">
        <v>2343</v>
      </c>
      <c r="F663" s="63" t="s">
        <v>2344</v>
      </c>
      <c r="G663" s="64"/>
      <c r="H663" s="1168"/>
      <c r="J663" s="372"/>
      <c r="K663" s="473"/>
      <c r="M663" s="50" t="s">
        <v>2345</v>
      </c>
      <c r="N663" s="28"/>
    </row>
    <row r="664" spans="4:14">
      <c r="D664" s="366"/>
      <c r="E664" s="63"/>
      <c r="F664" s="63"/>
      <c r="G664" s="64"/>
      <c r="H664" s="1168"/>
      <c r="I664" s="25"/>
      <c r="J664" s="378"/>
      <c r="K664" s="473"/>
      <c r="M664" s="50"/>
      <c r="N664" s="28"/>
    </row>
    <row r="665" spans="4:14">
      <c r="G665" s="385"/>
      <c r="H665" s="385"/>
      <c r="J665" s="385"/>
      <c r="K665" s="385"/>
    </row>
    <row r="666" spans="4:14">
      <c r="F666" s="39" t="s">
        <v>1799</v>
      </c>
      <c r="G666" s="653">
        <f>SUM(G607:G665)</f>
        <v>0</v>
      </c>
      <c r="H666" s="390">
        <f>SUM(H607:H665)</f>
        <v>165</v>
      </c>
      <c r="I666" s="322"/>
      <c r="J666" s="653">
        <f>SUM(J607:J665)</f>
        <v>2362.1984000000002</v>
      </c>
      <c r="K666" s="390">
        <f>SUM(K607:K665)</f>
        <v>3588.6454859999999</v>
      </c>
    </row>
    <row r="668" spans="4:14">
      <c r="G668" s="2081" t="s">
        <v>330</v>
      </c>
      <c r="H668" s="2082"/>
      <c r="I668" s="154"/>
      <c r="J668" s="2083" t="s">
        <v>331</v>
      </c>
      <c r="K668" s="2084"/>
    </row>
    <row r="669" spans="4:14">
      <c r="G669" s="391" t="s">
        <v>175</v>
      </c>
      <c r="H669" s="392" t="s">
        <v>340</v>
      </c>
      <c r="I669" s="393"/>
      <c r="J669" s="394" t="s">
        <v>175</v>
      </c>
      <c r="K669" s="395" t="s">
        <v>176</v>
      </c>
    </row>
    <row r="670" spans="4:14">
      <c r="D670" s="39" t="s">
        <v>44</v>
      </c>
      <c r="E670" s="1512" t="s">
        <v>2267</v>
      </c>
      <c r="F670" s="45" t="s">
        <v>204</v>
      </c>
      <c r="G670" s="637" t="s">
        <v>191</v>
      </c>
      <c r="H670" s="638" t="s">
        <v>192</v>
      </c>
      <c r="I670" s="396"/>
      <c r="J670" s="639" t="s">
        <v>191</v>
      </c>
      <c r="K670" s="640" t="s">
        <v>192</v>
      </c>
      <c r="M670" s="11" t="s">
        <v>48</v>
      </c>
    </row>
    <row r="671" spans="4:14">
      <c r="J671" s="369"/>
      <c r="K671" s="375"/>
    </row>
    <row r="672" spans="4:14">
      <c r="D672" s="388" t="s">
        <v>663</v>
      </c>
      <c r="E672" s="46" t="s">
        <v>1569</v>
      </c>
      <c r="F672" s="46"/>
      <c r="G672" s="318"/>
      <c r="H672" s="318"/>
      <c r="I672" s="46"/>
      <c r="J672" s="427"/>
      <c r="K672" s="427"/>
    </row>
    <row r="673" spans="4:15">
      <c r="D673" s="398">
        <v>46059</v>
      </c>
      <c r="E673" s="1391" t="s">
        <v>2298</v>
      </c>
      <c r="F673" s="116" t="s">
        <v>316</v>
      </c>
      <c r="G673" s="335"/>
      <c r="H673" s="335"/>
      <c r="I673" s="116"/>
      <c r="J673" s="427"/>
      <c r="K673" s="427">
        <f>188*23*0.00323</f>
        <v>13.966519999999999</v>
      </c>
      <c r="M673" s="50" t="s">
        <v>2295</v>
      </c>
      <c r="N673" s="28"/>
    </row>
    <row r="674" spans="4:15">
      <c r="D674" s="388" t="s">
        <v>761</v>
      </c>
      <c r="E674" s="46" t="s">
        <v>1632</v>
      </c>
      <c r="F674" s="46" t="s">
        <v>316</v>
      </c>
      <c r="G674" s="318"/>
      <c r="H674" s="318"/>
      <c r="I674" s="46"/>
      <c r="J674" s="427"/>
      <c r="K674" s="427">
        <f>27*6</f>
        <v>162</v>
      </c>
      <c r="M674" s="907" t="s">
        <v>2285</v>
      </c>
      <c r="N674" s="28"/>
    </row>
    <row r="675" spans="4:15">
      <c r="D675" s="388" t="s">
        <v>761</v>
      </c>
      <c r="E675" s="46" t="s">
        <v>2288</v>
      </c>
      <c r="F675" s="46" t="s">
        <v>2364</v>
      </c>
      <c r="G675" s="318"/>
      <c r="H675" s="318"/>
      <c r="I675" s="46"/>
      <c r="J675" s="427"/>
      <c r="K675" s="427"/>
      <c r="M675" s="50" t="s">
        <v>2366</v>
      </c>
      <c r="N675" s="28"/>
    </row>
    <row r="676" spans="4:15">
      <c r="D676" s="398"/>
      <c r="E676" s="116"/>
      <c r="F676" s="116" t="s">
        <v>2365</v>
      </c>
      <c r="G676" s="335"/>
      <c r="H676" s="335"/>
      <c r="I676" s="116"/>
      <c r="J676" s="427"/>
      <c r="K676" s="427">
        <v>146</v>
      </c>
      <c r="M676" s="50" t="s">
        <v>2367</v>
      </c>
      <c r="N676" s="28"/>
    </row>
    <row r="677" spans="4:15">
      <c r="D677" s="398" t="s">
        <v>761</v>
      </c>
      <c r="E677" s="116" t="s">
        <v>114</v>
      </c>
      <c r="F677" s="116" t="s">
        <v>2287</v>
      </c>
      <c r="G677" s="335"/>
      <c r="H677" s="335"/>
      <c r="I677" s="116"/>
      <c r="J677" s="427"/>
      <c r="K677" s="427"/>
      <c r="M677" s="50" t="s">
        <v>2286</v>
      </c>
      <c r="N677" s="28"/>
    </row>
    <row r="678" spans="4:15">
      <c r="D678" s="365" t="s">
        <v>163</v>
      </c>
      <c r="E678" s="447" t="s">
        <v>1815</v>
      </c>
      <c r="F678" s="447" t="s">
        <v>1808</v>
      </c>
      <c r="G678" s="1517"/>
      <c r="H678" s="1517"/>
      <c r="I678" s="447"/>
      <c r="J678" s="1518">
        <f>400*0.73</f>
        <v>292</v>
      </c>
      <c r="K678" s="722"/>
      <c r="M678" s="334" t="s">
        <v>2335</v>
      </c>
      <c r="N678" s="18"/>
    </row>
    <row r="679" spans="4:15">
      <c r="D679" s="373" t="s">
        <v>163</v>
      </c>
      <c r="E679" s="721" t="s">
        <v>1816</v>
      </c>
      <c r="F679" s="721" t="s">
        <v>1808</v>
      </c>
      <c r="G679" s="1514"/>
      <c r="H679" s="1514"/>
      <c r="I679" s="721"/>
      <c r="J679" s="1520">
        <f>250*0.73</f>
        <v>182.5</v>
      </c>
      <c r="K679" s="652"/>
      <c r="M679" s="79" t="s">
        <v>2336</v>
      </c>
      <c r="N679" s="23"/>
    </row>
    <row r="680" spans="4:15">
      <c r="D680" s="398" t="s">
        <v>761</v>
      </c>
      <c r="E680" s="116" t="s">
        <v>2338</v>
      </c>
      <c r="F680" s="116" t="s">
        <v>2339</v>
      </c>
      <c r="G680" s="335"/>
      <c r="H680" s="335"/>
      <c r="I680" s="116"/>
      <c r="J680" s="1513"/>
      <c r="K680" s="1513">
        <f>34.5*0.73</f>
        <v>25.184999999999999</v>
      </c>
      <c r="M680" s="334" t="s">
        <v>2337</v>
      </c>
      <c r="N680" s="18"/>
      <c r="O680" s="1965"/>
    </row>
    <row r="681" spans="4:15">
      <c r="D681" s="365" t="s">
        <v>761</v>
      </c>
      <c r="E681" s="24" t="s">
        <v>1632</v>
      </c>
      <c r="F681" s="24" t="s">
        <v>316</v>
      </c>
      <c r="G681" s="57"/>
      <c r="H681" s="57"/>
      <c r="I681" s="24"/>
      <c r="J681" s="1384"/>
      <c r="K681" s="1385">
        <f>15.8*6.5</f>
        <v>102.7</v>
      </c>
      <c r="M681" s="334" t="s">
        <v>2393</v>
      </c>
      <c r="N681" s="18"/>
      <c r="O681" s="1965"/>
    </row>
    <row r="682" spans="4:15">
      <c r="D682" s="379" t="s">
        <v>761</v>
      </c>
      <c r="E682" t="s">
        <v>2398</v>
      </c>
      <c r="F682" t="s">
        <v>1627</v>
      </c>
      <c r="J682" s="1386"/>
      <c r="K682" s="1387">
        <f>3.3*8</f>
        <v>26.4</v>
      </c>
      <c r="M682" s="73" t="s">
        <v>2399</v>
      </c>
      <c r="N682" s="60"/>
      <c r="O682" s="1965"/>
    </row>
    <row r="683" spans="4:15">
      <c r="D683" s="379" t="s">
        <v>761</v>
      </c>
      <c r="E683" t="s">
        <v>384</v>
      </c>
      <c r="F683" t="s">
        <v>302</v>
      </c>
      <c r="J683" s="1386">
        <f>6.05*50</f>
        <v>302.5</v>
      </c>
      <c r="K683" s="1387"/>
      <c r="M683" s="73" t="s">
        <v>2400</v>
      </c>
      <c r="N683" s="60"/>
      <c r="O683" s="1965"/>
    </row>
    <row r="684" spans="4:15">
      <c r="D684" s="379" t="s">
        <v>761</v>
      </c>
      <c r="E684" t="s">
        <v>2120</v>
      </c>
      <c r="F684" t="s">
        <v>302</v>
      </c>
      <c r="J684" s="1386">
        <f>0.058248*630</f>
        <v>36.696240000000003</v>
      </c>
      <c r="K684" s="1387"/>
      <c r="M684" s="73" t="s">
        <v>2396</v>
      </c>
      <c r="N684" s="60"/>
      <c r="O684" s="1965"/>
    </row>
    <row r="685" spans="4:15">
      <c r="D685" s="373" t="s">
        <v>761</v>
      </c>
      <c r="E685" s="25" t="s">
        <v>1599</v>
      </c>
      <c r="F685" s="25" t="s">
        <v>1817</v>
      </c>
      <c r="G685" s="61"/>
      <c r="H685" s="61"/>
      <c r="I685" s="25"/>
      <c r="J685" s="1380">
        <f>9.2*3.5</f>
        <v>32.199999999999996</v>
      </c>
      <c r="K685" s="1148"/>
      <c r="M685" s="79" t="s">
        <v>2395</v>
      </c>
      <c r="N685" s="23"/>
      <c r="O685" s="1965"/>
    </row>
    <row r="686" spans="4:15">
      <c r="D686" s="388">
        <v>46119</v>
      </c>
      <c r="E686" s="46" t="s">
        <v>2294</v>
      </c>
      <c r="F686" s="46" t="s">
        <v>2173</v>
      </c>
      <c r="G686" s="318"/>
      <c r="H686" s="318"/>
      <c r="I686" s="46"/>
      <c r="J686" s="1398"/>
      <c r="K686" s="1398">
        <f>50*0.738</f>
        <v>36.9</v>
      </c>
      <c r="M686" s="79" t="s">
        <v>2292</v>
      </c>
      <c r="N686" s="23"/>
      <c r="O686" s="1965" t="s">
        <v>2293</v>
      </c>
    </row>
    <row r="687" spans="4:15">
      <c r="D687" s="398" t="s">
        <v>1044</v>
      </c>
      <c r="E687" s="24" t="s">
        <v>2171</v>
      </c>
      <c r="F687" s="24" t="s">
        <v>302</v>
      </c>
      <c r="G687" s="57"/>
      <c r="H687" s="57"/>
      <c r="I687" s="24"/>
      <c r="J687" s="1384">
        <v>944.7</v>
      </c>
      <c r="K687" s="1385"/>
      <c r="M687" s="334" t="s">
        <v>2174</v>
      </c>
      <c r="N687" s="28"/>
      <c r="O687" s="1965"/>
    </row>
    <row r="688" spans="4:15">
      <c r="D688" s="399"/>
      <c r="E688" s="25" t="s">
        <v>2175</v>
      </c>
      <c r="F688" s="25" t="s">
        <v>2173</v>
      </c>
      <c r="G688" s="61"/>
      <c r="H688" s="61"/>
      <c r="I688" s="25"/>
      <c r="J688" s="1380"/>
      <c r="K688" s="1148">
        <v>69</v>
      </c>
      <c r="M688" s="79" t="s">
        <v>2172</v>
      </c>
      <c r="N688" s="28"/>
      <c r="O688" s="1965"/>
    </row>
    <row r="689" spans="4:15">
      <c r="D689" s="399" t="s">
        <v>778</v>
      </c>
      <c r="E689" s="25" t="s">
        <v>6</v>
      </c>
      <c r="F689" s="25" t="s">
        <v>1270</v>
      </c>
      <c r="G689" s="61"/>
      <c r="H689" s="61"/>
      <c r="I689" s="25"/>
      <c r="J689" s="1380"/>
      <c r="K689" s="1148">
        <v>1650</v>
      </c>
      <c r="M689" s="79" t="s">
        <v>2342</v>
      </c>
      <c r="N689" s="28"/>
      <c r="O689" s="1965"/>
    </row>
    <row r="690" spans="4:15">
      <c r="D690" s="388"/>
      <c r="E690" s="63" t="s">
        <v>2401</v>
      </c>
      <c r="F690" s="63" t="s">
        <v>2287</v>
      </c>
      <c r="G690" s="64"/>
      <c r="H690" s="64"/>
      <c r="I690" s="28"/>
      <c r="J690" s="1380"/>
      <c r="K690" s="1148"/>
      <c r="M690" s="79"/>
      <c r="N690" s="28"/>
      <c r="O690" s="1965"/>
    </row>
    <row r="691" spans="4:15">
      <c r="D691" s="365"/>
      <c r="E691" s="46"/>
      <c r="F691" s="24"/>
      <c r="G691" s="335"/>
      <c r="H691" s="335"/>
      <c r="I691" s="24"/>
      <c r="J691" s="1521"/>
      <c r="K691" s="1385"/>
      <c r="M691" s="50"/>
      <c r="N691" s="28"/>
    </row>
    <row r="692" spans="4:15">
      <c r="D692" s="365"/>
      <c r="E692" s="46"/>
      <c r="F692" s="24"/>
      <c r="G692" s="335"/>
      <c r="H692" s="335"/>
      <c r="I692" s="24"/>
      <c r="J692" s="1521"/>
      <c r="K692" s="1385"/>
      <c r="M692" s="50"/>
      <c r="N692" s="28"/>
    </row>
    <row r="693" spans="4:15">
      <c r="D693" s="365" t="s">
        <v>2154</v>
      </c>
      <c r="E693" s="2016" t="s">
        <v>2291</v>
      </c>
      <c r="F693" s="24" t="s">
        <v>2289</v>
      </c>
      <c r="G693" s="318"/>
      <c r="H693" s="318">
        <v>165</v>
      </c>
      <c r="I693" s="24"/>
      <c r="J693" s="1521"/>
      <c r="K693" s="1385"/>
      <c r="M693" s="50" t="s">
        <v>2290</v>
      </c>
      <c r="N693" s="28"/>
    </row>
    <row r="694" spans="4:15">
      <c r="D694" s="398"/>
      <c r="E694" s="116"/>
      <c r="F694" s="116"/>
      <c r="G694" s="335"/>
      <c r="H694" s="335"/>
      <c r="I694" s="116"/>
      <c r="J694" s="427"/>
      <c r="K694" s="427"/>
    </row>
    <row r="695" spans="4:15">
      <c r="D695" s="366"/>
      <c r="E695" s="63"/>
      <c r="F695" s="63"/>
      <c r="G695" s="64"/>
      <c r="H695" s="1168"/>
      <c r="J695" s="1380"/>
      <c r="K695" s="1148"/>
      <c r="M695" s="50"/>
      <c r="N695" s="28"/>
    </row>
    <row r="696" spans="4:15">
      <c r="D696" s="366"/>
      <c r="E696" s="63"/>
      <c r="F696" s="63"/>
      <c r="G696" s="64"/>
      <c r="H696" s="1168"/>
      <c r="I696" s="25"/>
      <c r="J696" s="1398"/>
      <c r="K696" s="1148"/>
      <c r="M696" s="50"/>
      <c r="N696" s="28"/>
    </row>
    <row r="697" spans="4:15">
      <c r="G697" s="385"/>
      <c r="H697" s="385"/>
      <c r="J697" s="385"/>
      <c r="K697" s="385"/>
    </row>
    <row r="698" spans="4:15">
      <c r="F698" s="39" t="s">
        <v>2266</v>
      </c>
      <c r="G698" s="653">
        <f>SUM(G672:G697)</f>
        <v>0</v>
      </c>
      <c r="H698" s="390">
        <f>SUM(H672:H697)</f>
        <v>165</v>
      </c>
      <c r="I698" s="322"/>
      <c r="J698" s="653">
        <f>SUM(J672:J697)</f>
        <v>1790.5962400000001</v>
      </c>
      <c r="K698" s="390">
        <f>SUM(K672:K697)</f>
        <v>2232.1515199999999</v>
      </c>
    </row>
    <row r="704" spans="4:15" ht="19">
      <c r="E704" s="474" t="s">
        <v>1613</v>
      </c>
    </row>
    <row r="706" spans="2:14">
      <c r="E706" t="s">
        <v>991</v>
      </c>
    </row>
    <row r="707" spans="2:14">
      <c r="E707" t="s">
        <v>992</v>
      </c>
    </row>
    <row r="709" spans="2:14">
      <c r="B709">
        <v>2011</v>
      </c>
      <c r="D709" s="388">
        <v>44644</v>
      </c>
      <c r="E709" s="46" t="s">
        <v>323</v>
      </c>
      <c r="F709" s="46" t="s">
        <v>339</v>
      </c>
      <c r="G709" s="318"/>
      <c r="H709" s="318">
        <v>72</v>
      </c>
      <c r="I709" s="46"/>
      <c r="J709" s="376"/>
      <c r="K709" s="376"/>
      <c r="M709" t="s">
        <v>266</v>
      </c>
    </row>
    <row r="710" spans="2:14">
      <c r="B710">
        <v>2012</v>
      </c>
      <c r="D710" s="388">
        <v>44639</v>
      </c>
      <c r="E710" s="46" t="s">
        <v>611</v>
      </c>
      <c r="F710" s="46" t="s">
        <v>316</v>
      </c>
      <c r="G710" s="318"/>
      <c r="H710" s="318">
        <v>77</v>
      </c>
      <c r="I710" s="46"/>
      <c r="J710" s="376"/>
      <c r="K710" s="376"/>
      <c r="M710" t="s">
        <v>425</v>
      </c>
    </row>
    <row r="711" spans="2:14">
      <c r="B711">
        <v>2014</v>
      </c>
      <c r="D711" s="388">
        <v>44702</v>
      </c>
      <c r="E711" s="46" t="s">
        <v>625</v>
      </c>
      <c r="F711" s="46" t="s">
        <v>339</v>
      </c>
      <c r="G711" s="318"/>
      <c r="H711" s="318">
        <v>9</v>
      </c>
      <c r="I711" s="46"/>
      <c r="J711" s="376"/>
      <c r="K711" s="376"/>
      <c r="M711" t="s">
        <v>265</v>
      </c>
    </row>
    <row r="712" spans="2:14">
      <c r="B712">
        <v>2015</v>
      </c>
      <c r="D712" s="388">
        <v>44562</v>
      </c>
      <c r="E712" s="46" t="s">
        <v>471</v>
      </c>
      <c r="F712" s="46" t="s">
        <v>339</v>
      </c>
      <c r="G712" s="318"/>
      <c r="H712" s="318">
        <v>28</v>
      </c>
      <c r="I712" s="46"/>
      <c r="J712" s="376"/>
      <c r="K712" s="376"/>
      <c r="M712" t="s">
        <v>523</v>
      </c>
    </row>
    <row r="713" spans="2:14">
      <c r="B713">
        <v>2015</v>
      </c>
      <c r="D713" s="388">
        <v>44621</v>
      </c>
      <c r="E713" s="46" t="s">
        <v>629</v>
      </c>
      <c r="F713" s="46" t="s">
        <v>339</v>
      </c>
      <c r="G713" s="318"/>
      <c r="H713" s="318">
        <v>13</v>
      </c>
      <c r="I713" s="46"/>
      <c r="J713" s="376"/>
      <c r="K713" s="376"/>
      <c r="M713" t="s">
        <v>261</v>
      </c>
    </row>
    <row r="714" spans="2:14">
      <c r="B714">
        <v>2015</v>
      </c>
      <c r="D714" s="388">
        <v>44685</v>
      </c>
      <c r="E714" s="46" t="s">
        <v>454</v>
      </c>
      <c r="F714" s="46" t="s">
        <v>339</v>
      </c>
      <c r="G714" s="318"/>
      <c r="H714" s="318"/>
      <c r="I714" s="46"/>
      <c r="J714" s="376"/>
      <c r="K714" s="376"/>
      <c r="M714" t="s">
        <v>455</v>
      </c>
    </row>
    <row r="715" spans="2:14">
      <c r="B715">
        <v>2016</v>
      </c>
      <c r="D715" s="388">
        <v>44837</v>
      </c>
      <c r="E715" s="46" t="s">
        <v>633</v>
      </c>
      <c r="F715" s="46" t="s">
        <v>339</v>
      </c>
      <c r="G715" s="318"/>
      <c r="H715" s="318">
        <v>10</v>
      </c>
      <c r="I715" s="46"/>
      <c r="J715" s="376"/>
      <c r="K715" s="376"/>
      <c r="M715" t="s">
        <v>257</v>
      </c>
    </row>
    <row r="716" spans="2:14">
      <c r="B716">
        <v>2016</v>
      </c>
      <c r="D716" s="388">
        <v>44844</v>
      </c>
      <c r="E716" s="46" t="s">
        <v>258</v>
      </c>
      <c r="F716" s="46" t="s">
        <v>339</v>
      </c>
      <c r="G716" s="318"/>
      <c r="H716" s="318">
        <v>179</v>
      </c>
      <c r="I716" s="46"/>
      <c r="J716" s="376"/>
      <c r="K716" s="376"/>
      <c r="M716" t="s">
        <v>259</v>
      </c>
    </row>
    <row r="717" spans="2:14">
      <c r="B717">
        <v>2017</v>
      </c>
      <c r="D717" s="365" t="s">
        <v>50</v>
      </c>
      <c r="E717" s="24" t="s">
        <v>649</v>
      </c>
      <c r="F717" s="702" t="s">
        <v>466</v>
      </c>
      <c r="G717" s="57"/>
      <c r="H717" s="57">
        <v>11</v>
      </c>
      <c r="I717" s="24"/>
      <c r="J717" s="383"/>
      <c r="K717" s="472"/>
      <c r="M717" s="334" t="s">
        <v>313</v>
      </c>
      <c r="N717" s="18"/>
    </row>
    <row r="718" spans="2:14">
      <c r="D718" s="373"/>
      <c r="E718" s="25"/>
      <c r="F718" s="25" t="s">
        <v>319</v>
      </c>
      <c r="G718" s="61"/>
      <c r="H718" s="61">
        <v>49</v>
      </c>
      <c r="I718" s="25"/>
      <c r="J718" s="384"/>
      <c r="K718" s="473"/>
      <c r="M718" s="79" t="s">
        <v>547</v>
      </c>
      <c r="N718" s="23"/>
    </row>
    <row r="719" spans="2:14">
      <c r="B719">
        <v>2021</v>
      </c>
      <c r="D719" s="366">
        <v>44729</v>
      </c>
      <c r="E719" s="206" t="s">
        <v>219</v>
      </c>
      <c r="F719" s="63" t="s">
        <v>345</v>
      </c>
      <c r="G719" s="64"/>
      <c r="H719" s="64">
        <v>103</v>
      </c>
      <c r="I719" s="63"/>
      <c r="J719" s="376"/>
      <c r="K719" s="376"/>
      <c r="M719" t="s">
        <v>230</v>
      </c>
    </row>
    <row r="721" spans="4:13">
      <c r="H721" s="53">
        <f>SUM(H709:H720)</f>
        <v>551</v>
      </c>
    </row>
    <row r="722" spans="4:13">
      <c r="E722" s="7">
        <v>2015</v>
      </c>
    </row>
    <row r="723" spans="4:13">
      <c r="D723" s="388">
        <v>44562</v>
      </c>
      <c r="E723" s="46" t="s">
        <v>471</v>
      </c>
      <c r="F723" s="46" t="s">
        <v>339</v>
      </c>
      <c r="G723" s="318"/>
      <c r="H723" s="318">
        <v>28</v>
      </c>
      <c r="I723" s="46"/>
      <c r="J723" s="376"/>
      <c r="K723" s="376"/>
      <c r="M723" t="s">
        <v>523</v>
      </c>
    </row>
    <row r="724" spans="4:13">
      <c r="D724" s="388">
        <v>44621</v>
      </c>
      <c r="E724" s="46" t="s">
        <v>629</v>
      </c>
      <c r="F724" s="46" t="s">
        <v>339</v>
      </c>
      <c r="G724" s="318"/>
      <c r="H724" s="318">
        <v>13</v>
      </c>
      <c r="I724" s="46"/>
      <c r="J724" s="376"/>
      <c r="K724" s="376"/>
      <c r="M724" t="s">
        <v>261</v>
      </c>
    </row>
    <row r="725" spans="4:13" ht="15" customHeight="1">
      <c r="D725" s="90"/>
      <c r="E725" s="56" t="s">
        <v>461</v>
      </c>
      <c r="F725" s="56" t="s">
        <v>330</v>
      </c>
      <c r="G725" s="401"/>
      <c r="H725" s="401">
        <v>61</v>
      </c>
      <c r="I725" s="56"/>
      <c r="J725" s="378"/>
      <c r="K725" s="378"/>
      <c r="M725" t="s">
        <v>336</v>
      </c>
    </row>
    <row r="726" spans="4:13">
      <c r="D726" s="388">
        <v>44685</v>
      </c>
      <c r="E726" s="46" t="s">
        <v>454</v>
      </c>
      <c r="F726" s="46" t="s">
        <v>339</v>
      </c>
      <c r="G726" s="318"/>
      <c r="H726" s="318"/>
      <c r="I726" s="46"/>
      <c r="J726" s="376"/>
      <c r="K726" s="376"/>
      <c r="M726" t="s">
        <v>455</v>
      </c>
    </row>
    <row r="727" spans="4:13">
      <c r="D727" s="379">
        <v>44717</v>
      </c>
      <c r="E727" s="467" t="s">
        <v>786</v>
      </c>
      <c r="F727" t="s">
        <v>339</v>
      </c>
      <c r="H727" s="53">
        <v>1657</v>
      </c>
      <c r="J727" s="385"/>
      <c r="K727" s="385"/>
      <c r="M727" t="s">
        <v>450</v>
      </c>
    </row>
    <row r="728" spans="4:13">
      <c r="D728" s="373"/>
      <c r="E728" s="25"/>
      <c r="F728" s="25"/>
      <c r="G728" s="61">
        <v>516</v>
      </c>
      <c r="H728" s="61"/>
      <c r="I728" s="25"/>
      <c r="J728" s="384"/>
      <c r="K728" s="384"/>
      <c r="M728" t="s">
        <v>262</v>
      </c>
    </row>
    <row r="729" spans="4:13">
      <c r="D729" s="388" t="s">
        <v>160</v>
      </c>
      <c r="E729" s="46" t="s">
        <v>337</v>
      </c>
      <c r="F729" s="46" t="s">
        <v>339</v>
      </c>
      <c r="G729" s="318"/>
      <c r="H729" s="318">
        <v>91</v>
      </c>
      <c r="I729" s="46"/>
      <c r="J729" s="376"/>
      <c r="K729" s="376"/>
      <c r="M729" t="s">
        <v>462</v>
      </c>
    </row>
    <row r="730" spans="4:13">
      <c r="D730" s="388">
        <v>44864</v>
      </c>
      <c r="E730" s="607" t="s">
        <v>480</v>
      </c>
      <c r="F730" s="46" t="s">
        <v>316</v>
      </c>
      <c r="G730" s="318"/>
      <c r="H730" s="318">
        <v>234</v>
      </c>
      <c r="I730" s="46"/>
      <c r="J730" s="376"/>
      <c r="K730" s="376"/>
      <c r="M730" t="s">
        <v>460</v>
      </c>
    </row>
    <row r="731" spans="4:13">
      <c r="D731" s="379">
        <v>44917</v>
      </c>
      <c r="E731" s="611" t="s">
        <v>632</v>
      </c>
      <c r="F731" t="s">
        <v>339</v>
      </c>
      <c r="H731" s="53">
        <v>181</v>
      </c>
      <c r="J731" s="385"/>
      <c r="K731" s="385"/>
      <c r="M731" t="s">
        <v>459</v>
      </c>
    </row>
    <row r="732" spans="4:13">
      <c r="D732" s="373"/>
      <c r="E732" s="25"/>
      <c r="F732" s="25"/>
      <c r="G732" s="61"/>
      <c r="H732" s="61"/>
      <c r="I732" s="25"/>
      <c r="J732" s="384"/>
      <c r="K732" s="384"/>
      <c r="M732" t="s">
        <v>370</v>
      </c>
    </row>
    <row r="733" spans="4:13">
      <c r="D733" s="479" t="s">
        <v>789</v>
      </c>
      <c r="E733" s="617" t="s">
        <v>939</v>
      </c>
      <c r="F733" s="46" t="s">
        <v>339</v>
      </c>
      <c r="G733" s="318"/>
      <c r="H733" s="318">
        <v>28.6</v>
      </c>
      <c r="I733" s="46"/>
      <c r="J733" s="376"/>
      <c r="K733" s="376"/>
      <c r="M733" t="s">
        <v>791</v>
      </c>
    </row>
    <row r="735" spans="4:13">
      <c r="E735" s="7">
        <v>2016</v>
      </c>
    </row>
    <row r="736" spans="4:13">
      <c r="D736" s="388">
        <v>44837</v>
      </c>
      <c r="E736" s="46" t="s">
        <v>633</v>
      </c>
      <c r="F736" s="46" t="s">
        <v>339</v>
      </c>
      <c r="G736" s="318"/>
      <c r="H736" s="318">
        <v>10</v>
      </c>
      <c r="I736" s="46"/>
      <c r="J736" s="376"/>
      <c r="K736" s="376"/>
      <c r="M736" t="s">
        <v>257</v>
      </c>
    </row>
    <row r="737" spans="1:14">
      <c r="D737" s="388">
        <v>44844</v>
      </c>
      <c r="E737" s="46" t="s">
        <v>258</v>
      </c>
      <c r="F737" s="46" t="s">
        <v>339</v>
      </c>
      <c r="G737" s="318"/>
      <c r="H737" s="318">
        <v>179</v>
      </c>
      <c r="I737" s="46"/>
      <c r="J737" s="376"/>
      <c r="K737" s="376"/>
      <c r="M737" t="s">
        <v>259</v>
      </c>
    </row>
    <row r="738" spans="1:14">
      <c r="D738" s="388">
        <v>44852</v>
      </c>
      <c r="E738" s="46" t="s">
        <v>246</v>
      </c>
      <c r="F738" s="46" t="s">
        <v>339</v>
      </c>
      <c r="G738" s="318"/>
      <c r="H738" s="318">
        <v>240</v>
      </c>
      <c r="I738" s="46"/>
      <c r="J738" s="376"/>
      <c r="K738" s="376"/>
      <c r="M738" t="s">
        <v>489</v>
      </c>
    </row>
    <row r="739" spans="1:14">
      <c r="D739" s="388">
        <v>44902</v>
      </c>
      <c r="E739" s="46" t="s">
        <v>488</v>
      </c>
      <c r="F739" s="46"/>
      <c r="G739" s="318"/>
      <c r="H739" s="318">
        <v>128</v>
      </c>
      <c r="I739" s="46"/>
      <c r="J739" s="376"/>
      <c r="K739" s="376"/>
      <c r="M739" t="s">
        <v>260</v>
      </c>
    </row>
    <row r="741" spans="1:14">
      <c r="E741" s="7">
        <v>2017</v>
      </c>
    </row>
    <row r="742" spans="1:14">
      <c r="D742" s="388">
        <v>44708</v>
      </c>
      <c r="E742" s="607" t="s">
        <v>481</v>
      </c>
      <c r="F742" s="46" t="s">
        <v>482</v>
      </c>
      <c r="G742" s="405">
        <v>376</v>
      </c>
      <c r="H742" s="318"/>
      <c r="I742" s="46"/>
      <c r="J742" s="376"/>
      <c r="K742" s="376"/>
      <c r="M742" t="s">
        <v>314</v>
      </c>
    </row>
    <row r="743" spans="1:14">
      <c r="D743" s="379">
        <v>44748</v>
      </c>
      <c r="E743" s="428" t="s">
        <v>247</v>
      </c>
      <c r="F743" t="s">
        <v>339</v>
      </c>
      <c r="H743" s="436">
        <v>4900</v>
      </c>
      <c r="J743" s="385"/>
      <c r="K743" s="385"/>
      <c r="M743" t="s">
        <v>487</v>
      </c>
    </row>
    <row r="744" spans="1:14">
      <c r="D744" s="19"/>
      <c r="E744" s="25"/>
      <c r="F744" s="25"/>
      <c r="G744" s="437">
        <v>1560</v>
      </c>
      <c r="H744" s="61"/>
      <c r="I744" s="25"/>
      <c r="J744" s="384"/>
      <c r="K744" s="384"/>
      <c r="M744" t="s">
        <v>248</v>
      </c>
    </row>
    <row r="745" spans="1:14">
      <c r="D745" s="388">
        <v>44831</v>
      </c>
      <c r="E745" s="607" t="s">
        <v>484</v>
      </c>
      <c r="F745" s="46" t="s">
        <v>483</v>
      </c>
      <c r="G745" s="405">
        <v>548</v>
      </c>
      <c r="H745" s="318"/>
      <c r="I745" s="46"/>
      <c r="J745" s="376"/>
      <c r="K745" s="376"/>
      <c r="M745" t="s">
        <v>317</v>
      </c>
    </row>
    <row r="746" spans="1:14">
      <c r="D746" s="388">
        <v>44923</v>
      </c>
      <c r="E746" s="208" t="s">
        <v>528</v>
      </c>
      <c r="F746" s="46" t="s">
        <v>184</v>
      </c>
      <c r="G746" s="405">
        <v>1683</v>
      </c>
      <c r="H746" s="318"/>
      <c r="I746" s="46"/>
      <c r="J746" s="376"/>
      <c r="K746" s="376"/>
      <c r="M746" t="s">
        <v>535</v>
      </c>
    </row>
    <row r="747" spans="1:14">
      <c r="D747" s="365" t="s">
        <v>50</v>
      </c>
      <c r="E747" s="24" t="s">
        <v>649</v>
      </c>
      <c r="F747" s="702" t="s">
        <v>466</v>
      </c>
      <c r="G747" s="57"/>
      <c r="H747" s="57">
        <v>11</v>
      </c>
      <c r="I747" s="24"/>
      <c r="J747" s="383"/>
      <c r="K747" s="472"/>
      <c r="M747" s="334" t="s">
        <v>313</v>
      </c>
      <c r="N747" s="18"/>
    </row>
    <row r="748" spans="1:14">
      <c r="D748" s="373"/>
      <c r="E748" s="25"/>
      <c r="F748" s="25" t="s">
        <v>319</v>
      </c>
      <c r="G748" s="61"/>
      <c r="H748" s="61">
        <v>49</v>
      </c>
      <c r="I748" s="25"/>
      <c r="J748" s="384"/>
      <c r="K748" s="473"/>
      <c r="M748" s="79" t="s">
        <v>547</v>
      </c>
      <c r="N748" s="23"/>
    </row>
    <row r="750" spans="1:14">
      <c r="E750" s="7">
        <v>2018</v>
      </c>
    </row>
    <row r="751" spans="1:14">
      <c r="A751" s="154"/>
      <c r="B751" s="154"/>
      <c r="C751" s="154"/>
      <c r="D751" s="1263">
        <v>45309</v>
      </c>
      <c r="E751" s="818" t="s">
        <v>249</v>
      </c>
      <c r="F751" s="818" t="s">
        <v>339</v>
      </c>
      <c r="G751" s="1264"/>
      <c r="H751" s="1264">
        <v>6</v>
      </c>
      <c r="I751" s="818"/>
      <c r="J751" s="817"/>
      <c r="K751" s="817"/>
      <c r="L751" s="154"/>
      <c r="M751" s="154" t="s">
        <v>250</v>
      </c>
      <c r="N751" s="154"/>
    </row>
    <row r="752" spans="1:14">
      <c r="A752" s="154"/>
      <c r="B752" s="154"/>
      <c r="C752" s="154"/>
      <c r="D752" s="1263">
        <v>45478</v>
      </c>
      <c r="E752" s="1272" t="s">
        <v>793</v>
      </c>
      <c r="F752" s="818" t="s">
        <v>316</v>
      </c>
      <c r="G752" s="1264"/>
      <c r="H752" s="1264">
        <v>252</v>
      </c>
      <c r="I752" s="818"/>
      <c r="J752" s="817"/>
      <c r="K752" s="817"/>
      <c r="L752" s="154"/>
      <c r="M752" s="154" t="s">
        <v>254</v>
      </c>
      <c r="N752" s="154"/>
    </row>
    <row r="753" spans="1:14">
      <c r="D753" s="45"/>
      <c r="E753" s="610" t="s">
        <v>372</v>
      </c>
      <c r="F753" s="46" t="s">
        <v>316</v>
      </c>
      <c r="G753" s="318"/>
      <c r="H753" s="318"/>
      <c r="I753" s="46"/>
      <c r="J753" s="376"/>
      <c r="K753" s="376"/>
      <c r="M753" t="s">
        <v>373</v>
      </c>
    </row>
    <row r="755" spans="1:14">
      <c r="E755" s="7">
        <v>2019</v>
      </c>
    </row>
    <row r="756" spans="1:14">
      <c r="A756" s="154"/>
      <c r="B756" s="154"/>
      <c r="C756" s="154"/>
      <c r="D756" s="1263">
        <v>45336</v>
      </c>
      <c r="E756" s="818" t="s">
        <v>235</v>
      </c>
      <c r="F756" s="818" t="s">
        <v>339</v>
      </c>
      <c r="G756" s="1264"/>
      <c r="H756" s="1264">
        <v>17</v>
      </c>
      <c r="I756" s="818"/>
      <c r="J756" s="817"/>
      <c r="K756" s="817"/>
      <c r="L756" s="154"/>
      <c r="M756" s="154"/>
      <c r="N756" s="154"/>
    </row>
    <row r="757" spans="1:14">
      <c r="A757" s="154"/>
      <c r="B757" s="154"/>
      <c r="C757" s="154"/>
      <c r="D757" s="1268">
        <v>45400</v>
      </c>
      <c r="E757" s="1273" t="s">
        <v>940</v>
      </c>
      <c r="F757" s="260" t="s">
        <v>701</v>
      </c>
      <c r="G757" s="1269"/>
      <c r="H757" s="1269"/>
      <c r="I757" s="260"/>
      <c r="J757" s="1270"/>
      <c r="K757" s="1270"/>
      <c r="L757" s="154"/>
      <c r="M757" s="154" t="s">
        <v>700</v>
      </c>
      <c r="N757" s="154"/>
    </row>
    <row r="758" spans="1:14">
      <c r="A758" s="154"/>
      <c r="B758" s="154"/>
      <c r="C758" s="154"/>
      <c r="D758" s="1265">
        <v>45601</v>
      </c>
      <c r="E758" s="1266" t="s">
        <v>644</v>
      </c>
      <c r="F758" s="1266" t="s">
        <v>339</v>
      </c>
      <c r="G758" s="1267"/>
      <c r="H758" s="1267">
        <v>5</v>
      </c>
      <c r="I758" s="1266"/>
      <c r="J758" s="819"/>
      <c r="K758" s="819"/>
      <c r="L758" s="154"/>
      <c r="M758" s="154" t="s">
        <v>239</v>
      </c>
      <c r="N758" s="154"/>
    </row>
    <row r="760" spans="1:14">
      <c r="E760" s="7">
        <v>2020</v>
      </c>
    </row>
    <row r="761" spans="1:14">
      <c r="A761" s="154"/>
      <c r="B761" s="154"/>
      <c r="C761" s="154"/>
      <c r="D761" s="1263">
        <v>45382</v>
      </c>
      <c r="E761" s="818" t="s">
        <v>240</v>
      </c>
      <c r="F761" s="818" t="s">
        <v>677</v>
      </c>
      <c r="G761" s="1264">
        <v>600</v>
      </c>
      <c r="H761" s="1264"/>
      <c r="I761" s="818"/>
      <c r="J761" s="817"/>
      <c r="K761" s="817"/>
      <c r="L761" s="154"/>
      <c r="M761" s="154" t="s">
        <v>646</v>
      </c>
      <c r="N761" s="154"/>
    </row>
    <row r="762" spans="1:14">
      <c r="A762" s="154"/>
      <c r="B762" s="154"/>
      <c r="C762" s="154"/>
      <c r="D762" s="1268">
        <v>45425</v>
      </c>
      <c r="E762" s="1271" t="s">
        <v>715</v>
      </c>
      <c r="F762" s="260" t="s">
        <v>711</v>
      </c>
      <c r="G762" s="1269"/>
      <c r="H762" s="1269"/>
      <c r="I762" s="260"/>
      <c r="J762" s="1270"/>
      <c r="K762" s="1270"/>
      <c r="L762" s="154"/>
      <c r="M762" s="154" t="s">
        <v>712</v>
      </c>
      <c r="N762" s="154"/>
    </row>
    <row r="763" spans="1:14">
      <c r="A763" s="154"/>
      <c r="B763" s="154"/>
      <c r="C763" s="154"/>
      <c r="D763" s="815">
        <v>45552</v>
      </c>
      <c r="E763" s="418" t="s">
        <v>716</v>
      </c>
      <c r="F763" s="418" t="s">
        <v>119</v>
      </c>
      <c r="G763" s="432"/>
      <c r="H763" s="432">
        <v>100</v>
      </c>
      <c r="I763" s="418"/>
      <c r="J763" s="434"/>
      <c r="K763" s="817"/>
      <c r="L763" s="154"/>
      <c r="M763" s="154" t="s">
        <v>714</v>
      </c>
      <c r="N763" s="154"/>
    </row>
    <row r="764" spans="1:14">
      <c r="A764" s="154"/>
      <c r="B764" s="154"/>
      <c r="C764" s="154"/>
      <c r="D764" s="1190" t="s">
        <v>779</v>
      </c>
      <c r="E764" s="1272" t="s">
        <v>794</v>
      </c>
      <c r="F764" s="818" t="s">
        <v>316</v>
      </c>
      <c r="G764" s="1264"/>
      <c r="H764" s="1264">
        <v>206</v>
      </c>
      <c r="I764" s="818"/>
      <c r="J764" s="817"/>
      <c r="K764" s="817"/>
      <c r="L764" s="154"/>
      <c r="M764" s="154" t="s">
        <v>795</v>
      </c>
      <c r="N764" s="154"/>
    </row>
    <row r="766" spans="1:14">
      <c r="E766" s="7">
        <v>2021</v>
      </c>
    </row>
    <row r="767" spans="1:14">
      <c r="D767" s="366">
        <v>44729</v>
      </c>
      <c r="E767" s="206" t="s">
        <v>219</v>
      </c>
      <c r="F767" s="63" t="s">
        <v>345</v>
      </c>
      <c r="G767" s="64"/>
      <c r="H767" s="64">
        <v>103</v>
      </c>
      <c r="I767" s="63"/>
      <c r="J767" s="376"/>
      <c r="K767" s="376"/>
      <c r="M767" t="s">
        <v>230</v>
      </c>
    </row>
    <row r="768" spans="1:14">
      <c r="D768" s="366">
        <v>44747</v>
      </c>
      <c r="E768" s="63" t="s">
        <v>648</v>
      </c>
      <c r="F768" s="63" t="s">
        <v>211</v>
      </c>
      <c r="G768" s="64"/>
      <c r="H768" s="64"/>
      <c r="I768" s="63"/>
      <c r="J768" s="376"/>
      <c r="K768" s="376"/>
      <c r="L768" s="364"/>
      <c r="M768" t="s">
        <v>212</v>
      </c>
    </row>
    <row r="769" spans="4:14">
      <c r="D769" s="365">
        <v>44756</v>
      </c>
      <c r="E769" s="609" t="s">
        <v>374</v>
      </c>
      <c r="F769" s="24" t="s">
        <v>346</v>
      </c>
      <c r="G769" s="57"/>
      <c r="H769" s="57">
        <v>143</v>
      </c>
      <c r="I769" s="24"/>
      <c r="J769" s="377"/>
      <c r="K769" s="377"/>
      <c r="L769" s="364"/>
      <c r="M769" t="s">
        <v>229</v>
      </c>
    </row>
    <row r="770" spans="4:14">
      <c r="D770" s="365">
        <v>44796</v>
      </c>
      <c r="E770" s="24" t="s">
        <v>225</v>
      </c>
      <c r="F770" s="24" t="s">
        <v>184</v>
      </c>
      <c r="G770" s="57">
        <v>696</v>
      </c>
      <c r="H770" s="57"/>
      <c r="I770" s="24"/>
      <c r="J770" s="377"/>
      <c r="K770" s="377"/>
      <c r="M770" s="334" t="s">
        <v>224</v>
      </c>
      <c r="N770" s="18"/>
    </row>
    <row r="771" spans="4:14">
      <c r="D771" s="379"/>
      <c r="G771" s="53">
        <v>236</v>
      </c>
      <c r="J771" s="375"/>
      <c r="K771" s="375"/>
      <c r="M771" s="73" t="s">
        <v>210</v>
      </c>
      <c r="N771" s="60"/>
    </row>
    <row r="772" spans="4:14">
      <c r="D772" s="373"/>
      <c r="E772" s="25"/>
      <c r="F772" s="25"/>
      <c r="G772" s="61"/>
      <c r="H772" s="61"/>
      <c r="I772" s="25"/>
      <c r="J772" s="378"/>
      <c r="K772" s="378"/>
      <c r="M772" s="79" t="s">
        <v>226</v>
      </c>
      <c r="N772" s="23"/>
    </row>
    <row r="773" spans="4:14">
      <c r="D773" s="366">
        <v>44800</v>
      </c>
      <c r="E773" s="63" t="s">
        <v>231</v>
      </c>
      <c r="F773" s="63" t="s">
        <v>348</v>
      </c>
      <c r="G773" s="64">
        <v>375</v>
      </c>
      <c r="H773" s="64"/>
      <c r="I773" s="63"/>
      <c r="J773" s="376"/>
      <c r="K773" s="376"/>
      <c r="M773" t="s">
        <v>209</v>
      </c>
    </row>
    <row r="774" spans="4:14">
      <c r="D774" s="365">
        <v>44811</v>
      </c>
      <c r="E774" s="24" t="s">
        <v>61</v>
      </c>
      <c r="F774" s="154" t="s">
        <v>339</v>
      </c>
      <c r="G774" s="57"/>
      <c r="H774" s="57"/>
      <c r="I774" s="24"/>
      <c r="J774" s="377"/>
      <c r="K774" s="377"/>
      <c r="M774" t="s">
        <v>234</v>
      </c>
    </row>
    <row r="775" spans="4:14">
      <c r="D775" s="379">
        <v>44882</v>
      </c>
      <c r="E775" t="s">
        <v>205</v>
      </c>
      <c r="F775" t="s">
        <v>207</v>
      </c>
      <c r="G775" s="53">
        <v>900</v>
      </c>
      <c r="J775" s="375"/>
      <c r="K775" s="375"/>
      <c r="M775" s="69" t="s">
        <v>206</v>
      </c>
    </row>
    <row r="776" spans="4:14">
      <c r="D776" s="373" t="s">
        <v>50</v>
      </c>
      <c r="E776" s="25" t="s">
        <v>202</v>
      </c>
      <c r="F776" s="25"/>
      <c r="G776" s="61"/>
      <c r="H776" s="61"/>
      <c r="I776" s="25"/>
      <c r="J776" s="378"/>
      <c r="K776" s="378">
        <v>1000</v>
      </c>
      <c r="M776" s="56" t="s">
        <v>203</v>
      </c>
    </row>
    <row r="778" spans="4:14">
      <c r="E778" s="7">
        <v>2022</v>
      </c>
    </row>
    <row r="779" spans="4:14">
      <c r="D779" s="365">
        <v>44784</v>
      </c>
      <c r="E779" s="24" t="s">
        <v>43</v>
      </c>
      <c r="F779" s="24" t="s">
        <v>186</v>
      </c>
      <c r="G779" s="57">
        <v>750</v>
      </c>
      <c r="H779" s="57"/>
      <c r="I779" s="24"/>
      <c r="J779" s="371"/>
      <c r="K779" s="377"/>
      <c r="M779" s="368" t="s">
        <v>187</v>
      </c>
      <c r="N779" s="18"/>
    </row>
    <row r="780" spans="4:14">
      <c r="D780" s="373">
        <v>44831</v>
      </c>
      <c r="E780" s="25" t="s">
        <v>247</v>
      </c>
      <c r="F780" s="25" t="s">
        <v>316</v>
      </c>
      <c r="G780" s="61"/>
      <c r="H780" s="61">
        <v>733</v>
      </c>
      <c r="I780" s="25"/>
      <c r="J780" s="372"/>
      <c r="K780" s="378"/>
      <c r="M780" s="79" t="s">
        <v>882</v>
      </c>
      <c r="N780" s="23"/>
    </row>
    <row r="782" spans="4:14">
      <c r="E782" s="7">
        <v>2023</v>
      </c>
    </row>
    <row r="783" spans="4:14">
      <c r="D783" s="365">
        <v>44935</v>
      </c>
      <c r="E783" s="649" t="s">
        <v>941</v>
      </c>
      <c r="F783" s="24" t="s">
        <v>175</v>
      </c>
      <c r="G783" s="57">
        <v>379</v>
      </c>
      <c r="H783" s="57"/>
      <c r="I783" s="24"/>
      <c r="J783" s="383"/>
      <c r="K783" s="472"/>
      <c r="M783" t="s">
        <v>1103</v>
      </c>
    </row>
    <row r="784" spans="4:14">
      <c r="D784" s="373"/>
      <c r="E784" s="25" t="s">
        <v>1104</v>
      </c>
      <c r="F784" s="25" t="s">
        <v>936</v>
      </c>
      <c r="G784" s="61">
        <v>100</v>
      </c>
      <c r="H784" s="61"/>
      <c r="I784" s="25"/>
      <c r="J784" s="384"/>
      <c r="K784" s="473"/>
      <c r="M784" t="s">
        <v>937</v>
      </c>
    </row>
    <row r="785" spans="4:14">
      <c r="D785" s="365">
        <v>45035</v>
      </c>
      <c r="E785" s="1196" t="s">
        <v>1390</v>
      </c>
      <c r="F785" s="24" t="s">
        <v>1024</v>
      </c>
      <c r="G785" s="57"/>
      <c r="H785" s="57">
        <v>860</v>
      </c>
      <c r="I785" s="24"/>
      <c r="J785" s="371"/>
      <c r="K785" s="377"/>
      <c r="M785" s="334" t="s">
        <v>1025</v>
      </c>
      <c r="N785" s="24"/>
    </row>
    <row r="786" spans="4:14">
      <c r="D786" s="379"/>
      <c r="E786" t="s">
        <v>1101</v>
      </c>
      <c r="J786" s="369"/>
      <c r="K786" s="375"/>
      <c r="M786" s="73" t="s">
        <v>1026</v>
      </c>
    </row>
    <row r="787" spans="4:14">
      <c r="D787" s="373"/>
      <c r="E787" s="25" t="s">
        <v>1102</v>
      </c>
      <c r="F787" s="25" t="s">
        <v>817</v>
      </c>
      <c r="G787" s="61">
        <v>23</v>
      </c>
      <c r="H787" s="61"/>
      <c r="I787" s="25"/>
      <c r="J787" s="372"/>
      <c r="K787" s="378"/>
      <c r="M787" s="73" t="s">
        <v>1100</v>
      </c>
    </row>
    <row r="788" spans="4:14">
      <c r="D788" s="365" t="s">
        <v>778</v>
      </c>
      <c r="E788" s="24" t="s">
        <v>247</v>
      </c>
      <c r="F788" s="24" t="s">
        <v>1055</v>
      </c>
      <c r="G788" s="57"/>
      <c r="H788" s="695">
        <v>30.6</v>
      </c>
      <c r="I788" s="24"/>
      <c r="J788" s="377"/>
      <c r="K788" s="472"/>
      <c r="M788" s="334" t="s">
        <v>1095</v>
      </c>
      <c r="N788" s="18"/>
    </row>
    <row r="789" spans="4:14">
      <c r="D789" s="373"/>
      <c r="E789" s="25"/>
      <c r="F789" s="25"/>
      <c r="G789" s="61"/>
      <c r="H789" s="61"/>
      <c r="I789" s="25"/>
      <c r="J789" s="378"/>
      <c r="K789" s="473"/>
      <c r="M789" s="79" t="s">
        <v>1096</v>
      </c>
      <c r="N789" s="23"/>
    </row>
  </sheetData>
  <mergeCells count="34">
    <mergeCell ref="G197:H197"/>
    <mergeCell ref="J197:K197"/>
    <mergeCell ref="G108:H108"/>
    <mergeCell ref="J108:K108"/>
    <mergeCell ref="G137:H137"/>
    <mergeCell ref="J137:K137"/>
    <mergeCell ref="G159:H159"/>
    <mergeCell ref="J159:K159"/>
    <mergeCell ref="G34:H34"/>
    <mergeCell ref="J34:K34"/>
    <mergeCell ref="G59:H59"/>
    <mergeCell ref="J59:K59"/>
    <mergeCell ref="G85:H85"/>
    <mergeCell ref="J85:K85"/>
    <mergeCell ref="G668:H668"/>
    <mergeCell ref="J668:K668"/>
    <mergeCell ref="G474:H474"/>
    <mergeCell ref="J474:K474"/>
    <mergeCell ref="G378:H378"/>
    <mergeCell ref="J378:K378"/>
    <mergeCell ref="G603:H603"/>
    <mergeCell ref="J603:K603"/>
    <mergeCell ref="G533:H533"/>
    <mergeCell ref="J533:K533"/>
    <mergeCell ref="G227:H227"/>
    <mergeCell ref="J227:K227"/>
    <mergeCell ref="G273:H273"/>
    <mergeCell ref="J273:K273"/>
    <mergeCell ref="G425:H425"/>
    <mergeCell ref="J425:K425"/>
    <mergeCell ref="G304:H304"/>
    <mergeCell ref="J304:K304"/>
    <mergeCell ref="G334:H334"/>
    <mergeCell ref="J334:K334"/>
  </mergeCells>
  <phoneticPr fontId="16" type="noConversion"/>
  <hyperlinks>
    <hyperlink ref="O686" r:id="rId1" xr:uid="{2D0E6D67-5F0F-C944-806A-A76D114546B5}"/>
  </hyperlinks>
  <printOptions horizontalCentered="1" gridLines="1"/>
  <pageMargins left="0.1" right="0.1" top="1" bottom="1" header="0.5" footer="0.5"/>
  <pageSetup scale="85" fitToHeight="2" orientation="landscape" horizontalDpi="4294967292" verticalDpi="4294967292"/>
  <rowBreaks count="1" manualBreakCount="1">
    <brk id="378" max="16383" man="1"/>
  </rowBreaks>
  <ignoredErrors>
    <ignoredError sqref="E605" numberStoredAsText="1"/>
  </ignoredErrors>
  <extLs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B2:BF100"/>
  <sheetViews>
    <sheetView topLeftCell="A5" zoomScale="93" zoomScaleNormal="100" workbookViewId="0">
      <selection activeCell="AG41" sqref="AG41"/>
    </sheetView>
  </sheetViews>
  <sheetFormatPr baseColWidth="10" defaultRowHeight="16"/>
  <cols>
    <col min="1" max="1" width="5" customWidth="1"/>
    <col min="2" max="2" width="4.1640625" style="30" customWidth="1"/>
    <col min="3" max="3" width="30.1640625" customWidth="1"/>
    <col min="4" max="5" width="7.5" hidden="1" customWidth="1"/>
    <col min="6" max="7" width="11.5" hidden="1" customWidth="1"/>
    <col min="8" max="9" width="7.6640625" hidden="1" customWidth="1"/>
    <col min="10" max="10" width="1.1640625" hidden="1" customWidth="1"/>
    <col min="11" max="13" width="7.5" hidden="1" customWidth="1"/>
    <col min="14" max="14" width="7.5" customWidth="1"/>
    <col min="15" max="15" width="1" hidden="1" customWidth="1"/>
    <col min="16" max="18" width="7.5" hidden="1" customWidth="1"/>
    <col min="19" max="19" width="7.5" customWidth="1"/>
    <col min="20" max="20" width="1.1640625" hidden="1" customWidth="1"/>
    <col min="21" max="23" width="7.5" hidden="1" customWidth="1"/>
    <col min="24" max="24" width="7.5" customWidth="1"/>
    <col min="25" max="25" width="1.1640625" customWidth="1"/>
    <col min="26" max="26" width="7.5" customWidth="1"/>
    <col min="27" max="27" width="7.5" hidden="1" customWidth="1"/>
    <col min="28" max="28" width="8.33203125" hidden="1" customWidth="1"/>
    <col min="29" max="29" width="7.33203125" hidden="1" customWidth="1"/>
    <col min="30" max="30" width="1.33203125" customWidth="1"/>
    <col min="31" max="31" width="7.33203125" customWidth="1"/>
    <col min="32" max="32" width="1.33203125" customWidth="1"/>
    <col min="33" max="33" width="7.33203125" customWidth="1"/>
    <col min="34" max="34" width="1.33203125" customWidth="1"/>
    <col min="35" max="36" width="7.33203125" customWidth="1"/>
    <col min="37" max="37" width="1.83203125" customWidth="1"/>
    <col min="39" max="39" width="11.5" customWidth="1"/>
    <col min="40" max="40" width="3.83203125" customWidth="1"/>
    <col min="42" max="42" width="27.83203125" customWidth="1"/>
    <col min="43" max="47" width="8.6640625" hidden="1" customWidth="1"/>
    <col min="48" max="48" width="8.6640625" customWidth="1"/>
    <col min="49" max="51" width="11.83203125" customWidth="1"/>
    <col min="52" max="52" width="9.1640625" customWidth="1"/>
    <col min="53" max="54" width="9.33203125" customWidth="1"/>
  </cols>
  <sheetData>
    <row r="2" spans="2:58">
      <c r="H2" s="53"/>
      <c r="AQ2" s="340"/>
      <c r="AR2" s="340"/>
      <c r="AS2" s="340"/>
      <c r="AT2" s="340"/>
      <c r="AU2" s="340"/>
      <c r="AV2" s="340"/>
      <c r="AW2" s="340"/>
      <c r="AX2" s="340"/>
      <c r="AY2" s="340"/>
      <c r="AZ2" s="340"/>
    </row>
    <row r="3" spans="2:58">
      <c r="AL3" s="53">
        <f>+I23+N23+S23</f>
        <v>2033.5</v>
      </c>
      <c r="AM3">
        <f>+AL3/5</f>
        <v>406.7</v>
      </c>
      <c r="AP3" s="11" t="s">
        <v>1014</v>
      </c>
      <c r="AV3" s="1165" t="s">
        <v>917</v>
      </c>
    </row>
    <row r="4" spans="2:58">
      <c r="S4" s="1109">
        <v>-347.5</v>
      </c>
      <c r="X4" s="636">
        <v>29.7</v>
      </c>
      <c r="Y4" s="636"/>
      <c r="Z4" s="636">
        <v>-152.69999999999999</v>
      </c>
      <c r="AA4" s="636">
        <v>-19.3</v>
      </c>
      <c r="AB4" s="636"/>
      <c r="AC4" s="636"/>
      <c r="AD4" s="636"/>
      <c r="AE4">
        <v>-150</v>
      </c>
      <c r="AI4">
        <v>-150</v>
      </c>
      <c r="AL4">
        <f>+AL5/5</f>
        <v>1575.8400000000001</v>
      </c>
      <c r="AP4" s="791" t="s">
        <v>1995</v>
      </c>
      <c r="AQ4" s="1165">
        <v>2016</v>
      </c>
      <c r="AR4" s="1165">
        <v>2017</v>
      </c>
      <c r="AS4" s="1165">
        <v>2018</v>
      </c>
      <c r="AT4" s="1165">
        <v>2019</v>
      </c>
      <c r="AU4" s="1672">
        <v>2020</v>
      </c>
      <c r="AV4" s="1673" t="s">
        <v>1994</v>
      </c>
      <c r="AW4" s="212">
        <v>2021</v>
      </c>
      <c r="AX4" s="40">
        <v>2022</v>
      </c>
      <c r="AY4" s="488">
        <v>2023</v>
      </c>
      <c r="AZ4" s="488">
        <v>2024</v>
      </c>
    </row>
    <row r="5" spans="2:58">
      <c r="X5">
        <v>5638</v>
      </c>
      <c r="Z5">
        <v>1165.7</v>
      </c>
      <c r="AA5">
        <v>1954</v>
      </c>
      <c r="AL5" s="53">
        <f>+I21+N21+S21+X21+AE21</f>
        <v>7879.2000000000007</v>
      </c>
      <c r="AP5" s="334" t="s">
        <v>875</v>
      </c>
      <c r="AQ5" s="1062">
        <f>390.8+185.1</f>
        <v>575.9</v>
      </c>
      <c r="AR5" s="1062">
        <f>+-848.9+207.4</f>
        <v>-641.5</v>
      </c>
      <c r="AS5" s="1062">
        <f>75.9+242.9</f>
        <v>318.8</v>
      </c>
      <c r="AT5" s="1062">
        <f>130.3+264.2</f>
        <v>394.5</v>
      </c>
      <c r="AU5" s="1062">
        <f>100.9+208.1</f>
        <v>309</v>
      </c>
      <c r="AV5" s="1062">
        <f>SUM(AQ5:AU5)/5</f>
        <v>191.34</v>
      </c>
      <c r="AW5" s="335">
        <f>492+309</f>
        <v>801</v>
      </c>
      <c r="AX5" s="335">
        <v>1105.3</v>
      </c>
      <c r="AY5" s="654">
        <v>1522.2</v>
      </c>
      <c r="AZ5" s="654">
        <f>+X11</f>
        <v>1791.4</v>
      </c>
    </row>
    <row r="6" spans="2:58" ht="15" customHeight="1">
      <c r="AL6" s="53"/>
      <c r="AM6" s="636"/>
      <c r="AP6" s="73" t="s">
        <v>840</v>
      </c>
      <c r="AQ6" s="1065">
        <v>555.20000000000005</v>
      </c>
      <c r="AR6" s="1065">
        <v>559</v>
      </c>
      <c r="AS6" s="1065">
        <v>783.5</v>
      </c>
      <c r="AT6" s="1065">
        <v>880.2</v>
      </c>
      <c r="AU6" s="1065">
        <v>769.2</v>
      </c>
      <c r="AV6" s="1062">
        <f t="shared" ref="AV6:AV9" si="0">SUM(AQ6:AU6)/5</f>
        <v>709.42000000000007</v>
      </c>
      <c r="AW6" s="333">
        <v>641</v>
      </c>
      <c r="AX6" s="333">
        <v>961.8</v>
      </c>
      <c r="AY6" s="655">
        <v>1896.2</v>
      </c>
      <c r="AZ6" s="655">
        <f>+X12</f>
        <v>2511.9</v>
      </c>
    </row>
    <row r="7" spans="2:58">
      <c r="AA7" s="1259"/>
      <c r="AB7" s="1259"/>
      <c r="AC7" s="1259"/>
      <c r="AP7" s="56" t="s">
        <v>841</v>
      </c>
      <c r="AQ7" s="1026">
        <v>24</v>
      </c>
      <c r="AR7" s="1026">
        <v>201</v>
      </c>
      <c r="AS7" s="1026">
        <v>221</v>
      </c>
      <c r="AT7" s="1026">
        <v>170</v>
      </c>
      <c r="AU7" s="1026">
        <v>-113</v>
      </c>
      <c r="AV7" s="1062">
        <f t="shared" si="0"/>
        <v>100.6</v>
      </c>
      <c r="AW7" s="401">
        <v>402</v>
      </c>
      <c r="AX7" s="401">
        <v>1015</v>
      </c>
      <c r="AY7" s="401">
        <v>1022.2</v>
      </c>
      <c r="AZ7" s="401">
        <f>+X13</f>
        <v>956.3</v>
      </c>
    </row>
    <row r="8" spans="2:58">
      <c r="C8" s="11" t="s">
        <v>2092</v>
      </c>
      <c r="K8" s="364"/>
      <c r="L8" s="364"/>
      <c r="M8" s="364"/>
      <c r="N8" s="364"/>
      <c r="O8" s="364"/>
      <c r="P8" s="364"/>
      <c r="Q8" s="364"/>
      <c r="R8" s="364"/>
      <c r="S8" s="364"/>
      <c r="T8" s="364"/>
      <c r="U8" s="364"/>
      <c r="V8" s="364"/>
      <c r="W8" s="364"/>
      <c r="X8" s="42"/>
      <c r="AC8" s="40" t="s">
        <v>779</v>
      </c>
      <c r="AE8" s="1728"/>
      <c r="AF8" s="1728"/>
      <c r="AG8" s="1728"/>
      <c r="AH8" s="1728"/>
      <c r="AI8" s="1728"/>
      <c r="AJ8" s="1728"/>
      <c r="AK8" s="615"/>
      <c r="AL8" s="42"/>
      <c r="AM8" s="42"/>
      <c r="AO8" s="30"/>
      <c r="AP8" s="48" t="s">
        <v>135</v>
      </c>
      <c r="AQ8" s="994">
        <f>SUM(AQ5:AQ7)</f>
        <v>1155.0999999999999</v>
      </c>
      <c r="AR8" s="994">
        <v>118</v>
      </c>
      <c r="AS8" s="994">
        <f t="shared" ref="AS8:AU8" si="1">SUM(AS5:AS7)</f>
        <v>1323.3</v>
      </c>
      <c r="AT8" s="994">
        <v>1444</v>
      </c>
      <c r="AU8" s="994">
        <f t="shared" si="1"/>
        <v>965.2</v>
      </c>
      <c r="AV8" s="1671">
        <f>SUM(AV5:AV7)</f>
        <v>1001.3600000000001</v>
      </c>
      <c r="AW8" s="336">
        <f>SUM(AW5:AW7)</f>
        <v>1844</v>
      </c>
      <c r="AX8" s="336">
        <f>SUM(AX5:AX7)</f>
        <v>3082.1</v>
      </c>
      <c r="AY8" s="336">
        <f>SUM(AY5:AY7)</f>
        <v>4440.6000000000004</v>
      </c>
      <c r="AZ8" s="336">
        <f>SUM(AZ5:AZ7)</f>
        <v>5259.6</v>
      </c>
      <c r="BB8" s="53">
        <f>+AY8-1000</f>
        <v>3440.6000000000004</v>
      </c>
      <c r="BC8">
        <f>+BB8/1000</f>
        <v>3.4406000000000003</v>
      </c>
      <c r="BE8" s="53">
        <f>+AZ8-AY8</f>
        <v>819</v>
      </c>
      <c r="BF8" s="13">
        <f>+BE8/AY8</f>
        <v>0.18443453587353059</v>
      </c>
    </row>
    <row r="9" spans="2:58">
      <c r="C9" t="s">
        <v>2385</v>
      </c>
      <c r="U9" s="40" t="s">
        <v>761</v>
      </c>
      <c r="V9" s="40" t="s">
        <v>778</v>
      </c>
      <c r="W9" s="40" t="s">
        <v>779</v>
      </c>
      <c r="X9" s="42"/>
      <c r="Z9" s="40" t="s">
        <v>761</v>
      </c>
      <c r="AA9" s="40" t="s">
        <v>778</v>
      </c>
      <c r="AB9" s="151" t="s">
        <v>779</v>
      </c>
      <c r="AC9" s="51" t="s">
        <v>1308</v>
      </c>
      <c r="AG9" s="40" t="s">
        <v>761</v>
      </c>
      <c r="AH9" s="42"/>
      <c r="AI9" s="1729" t="s">
        <v>780</v>
      </c>
      <c r="AJ9" s="792" t="s">
        <v>780</v>
      </c>
      <c r="AK9" s="615"/>
      <c r="AL9" s="42"/>
      <c r="AM9" s="42"/>
      <c r="AO9" s="30"/>
      <c r="AP9" s="46" t="s">
        <v>134</v>
      </c>
      <c r="AQ9" s="862">
        <f t="shared" ref="AQ9:AU9" si="2">+AQ8/AQ10</f>
        <v>50.004329004328994</v>
      </c>
      <c r="AR9" s="862">
        <f t="shared" si="2"/>
        <v>4.2522522522522523</v>
      </c>
      <c r="AS9" s="862">
        <f t="shared" si="2"/>
        <v>48.650735294117645</v>
      </c>
      <c r="AT9" s="862">
        <f t="shared" si="2"/>
        <v>53.880597014925371</v>
      </c>
      <c r="AU9" s="862">
        <f t="shared" si="2"/>
        <v>36.839694656488554</v>
      </c>
      <c r="AV9" s="1674">
        <f t="shared" si="0"/>
        <v>38.725521644422557</v>
      </c>
      <c r="AW9" s="324">
        <f>+AW8/AW10</f>
        <v>77.154811715481173</v>
      </c>
      <c r="AX9" s="324">
        <f>+AX8/AX10</f>
        <v>132.27896995708153</v>
      </c>
      <c r="AY9" s="324">
        <f>+AY8/AY10</f>
        <v>193.06956521739133</v>
      </c>
      <c r="AZ9" s="324">
        <f>+AZ8/AZ10</f>
        <v>242.73583164112981</v>
      </c>
      <c r="BB9" s="53">
        <f>+AY9-39</f>
        <v>154.06956521739133</v>
      </c>
      <c r="BC9">
        <f>+BB9/39</f>
        <v>3.9505016722408035</v>
      </c>
      <c r="BE9" s="53">
        <f>+AZ9-AY9</f>
        <v>49.666266423738477</v>
      </c>
      <c r="BF9" s="13">
        <f>+BE9/AY9</f>
        <v>0.25724544605368305</v>
      </c>
    </row>
    <row r="10" spans="2:58">
      <c r="C10" t="s">
        <v>2333</v>
      </c>
      <c r="D10" s="40">
        <v>2016</v>
      </c>
      <c r="E10" s="40">
        <v>2017</v>
      </c>
      <c r="F10" s="40">
        <v>2018</v>
      </c>
      <c r="G10" s="40">
        <v>2019</v>
      </c>
      <c r="H10" s="40">
        <v>2020</v>
      </c>
      <c r="I10" s="40">
        <v>2021</v>
      </c>
      <c r="J10" s="40"/>
      <c r="K10" s="488">
        <v>2022</v>
      </c>
      <c r="L10" s="488">
        <v>2022</v>
      </c>
      <c r="M10" s="488">
        <v>2022</v>
      </c>
      <c r="N10" s="40">
        <v>2022</v>
      </c>
      <c r="O10" s="40"/>
      <c r="P10" s="488">
        <v>2023</v>
      </c>
      <c r="Q10" s="488">
        <v>2023</v>
      </c>
      <c r="R10" s="488">
        <v>2023</v>
      </c>
      <c r="S10" s="488">
        <v>2023</v>
      </c>
      <c r="T10" s="488"/>
      <c r="U10" s="1103">
        <v>2024</v>
      </c>
      <c r="V10" s="1103">
        <v>2024</v>
      </c>
      <c r="W10" s="1103">
        <v>2024</v>
      </c>
      <c r="X10" s="2045">
        <v>2024</v>
      </c>
      <c r="Y10" s="2040"/>
      <c r="Z10" s="1103">
        <v>2025</v>
      </c>
      <c r="AA10" s="1103">
        <v>2025</v>
      </c>
      <c r="AB10" s="2044">
        <v>2025</v>
      </c>
      <c r="AC10" s="1103">
        <v>2025</v>
      </c>
      <c r="AD10" s="2040"/>
      <c r="AE10" s="488">
        <v>2025</v>
      </c>
      <c r="AF10" s="2041"/>
      <c r="AG10" s="1103">
        <v>2026</v>
      </c>
      <c r="AH10" s="2040"/>
      <c r="AI10" s="1328" t="s">
        <v>2068</v>
      </c>
      <c r="AJ10" s="826" t="s">
        <v>2308</v>
      </c>
      <c r="AK10" s="615"/>
      <c r="AL10" s="11" t="s">
        <v>48</v>
      </c>
      <c r="AO10" s="30"/>
      <c r="AP10" s="50" t="s">
        <v>879</v>
      </c>
      <c r="AQ10" s="1033">
        <v>23.1</v>
      </c>
      <c r="AR10" s="1033">
        <v>27.75</v>
      </c>
      <c r="AS10" s="1033">
        <v>27.2</v>
      </c>
      <c r="AT10" s="1033">
        <v>26.8</v>
      </c>
      <c r="AU10" s="1033">
        <v>26.2</v>
      </c>
      <c r="AV10" s="1033"/>
      <c r="AW10" s="45">
        <v>23.9</v>
      </c>
      <c r="AX10" s="45">
        <v>23.3</v>
      </c>
      <c r="AY10" s="1375">
        <v>23</v>
      </c>
      <c r="AZ10" s="1375">
        <v>21.667999999999999</v>
      </c>
      <c r="BE10">
        <f>+AY10-AZ10</f>
        <v>1.3320000000000007</v>
      </c>
      <c r="BF10" s="13">
        <f>+BE10/AY10</f>
        <v>5.79130434782609E-2</v>
      </c>
    </row>
    <row r="11" spans="2:58">
      <c r="B11" s="30" t="s">
        <v>138</v>
      </c>
      <c r="C11" s="334" t="s">
        <v>2099</v>
      </c>
      <c r="D11" s="335">
        <f>390.8+185.1</f>
        <v>575.9</v>
      </c>
      <c r="E11" s="335">
        <f>+-848.9+207.4</f>
        <v>-641.5</v>
      </c>
      <c r="F11" s="335">
        <f>75.9+242.9</f>
        <v>318.8</v>
      </c>
      <c r="G11" s="335">
        <f>130.3+264.2</f>
        <v>394.5</v>
      </c>
      <c r="H11" s="335">
        <f>100.9+208.1</f>
        <v>309</v>
      </c>
      <c r="I11" s="335">
        <f>492+309</f>
        <v>801</v>
      </c>
      <c r="J11" s="335"/>
      <c r="K11" s="654">
        <v>324</v>
      </c>
      <c r="L11" s="654">
        <v>301</v>
      </c>
      <c r="M11" s="654">
        <f>+-22.4+5.6</f>
        <v>-16.799999999999997</v>
      </c>
      <c r="N11" s="335">
        <v>1105.3</v>
      </c>
      <c r="O11" s="335"/>
      <c r="P11" s="654">
        <v>313.8</v>
      </c>
      <c r="Q11" s="654">
        <v>337.5</v>
      </c>
      <c r="R11" s="654">
        <v>291.60000000000002</v>
      </c>
      <c r="S11" s="654">
        <v>1522.2</v>
      </c>
      <c r="T11" s="654"/>
      <c r="U11" s="654">
        <v>373</v>
      </c>
      <c r="V11" s="654">
        <v>370.4</v>
      </c>
      <c r="W11" s="654">
        <v>389.7</v>
      </c>
      <c r="X11" s="655">
        <v>1791.4</v>
      </c>
      <c r="Y11" s="655"/>
      <c r="Z11" s="654">
        <v>96.9</v>
      </c>
      <c r="AA11" s="654">
        <v>426.9</v>
      </c>
      <c r="AB11" s="1863">
        <v>540.29999999999995</v>
      </c>
      <c r="AC11" s="654">
        <f>+Z11+AA11+AB11</f>
        <v>1064.0999999999999</v>
      </c>
      <c r="AD11" s="1269"/>
      <c r="AE11" s="654">
        <v>1816.6</v>
      </c>
      <c r="AF11" s="655"/>
      <c r="AG11" s="654">
        <v>415</v>
      </c>
      <c r="AH11" s="655"/>
      <c r="AI11" s="1730">
        <v>1734</v>
      </c>
      <c r="AJ11" s="750">
        <v>1769</v>
      </c>
      <c r="AK11" s="429"/>
      <c r="AL11" s="866" t="s">
        <v>2327</v>
      </c>
      <c r="AM11" s="30"/>
      <c r="AO11" s="30"/>
    </row>
    <row r="12" spans="2:58">
      <c r="B12" s="30" t="s">
        <v>139</v>
      </c>
      <c r="C12" s="73" t="s">
        <v>1937</v>
      </c>
      <c r="D12" s="333">
        <v>555.20000000000005</v>
      </c>
      <c r="E12" s="333">
        <v>559</v>
      </c>
      <c r="F12" s="333">
        <v>783.5</v>
      </c>
      <c r="G12" s="333">
        <v>880.2</v>
      </c>
      <c r="H12" s="333">
        <v>769.2</v>
      </c>
      <c r="I12" s="333">
        <v>641</v>
      </c>
      <c r="J12" s="333"/>
      <c r="K12" s="655">
        <v>168.9</v>
      </c>
      <c r="L12" s="655">
        <v>203.1</v>
      </c>
      <c r="M12" s="655">
        <v>256.5</v>
      </c>
      <c r="N12" s="333">
        <v>961.8</v>
      </c>
      <c r="O12" s="333"/>
      <c r="P12" s="655">
        <v>382.3</v>
      </c>
      <c r="Q12" s="655">
        <v>464.6</v>
      </c>
      <c r="R12" s="655">
        <v>512.70000000000005</v>
      </c>
      <c r="S12" s="655">
        <v>1896.2</v>
      </c>
      <c r="T12" s="655"/>
      <c r="U12" s="655">
        <v>589.79999999999995</v>
      </c>
      <c r="V12" s="655">
        <v>614</v>
      </c>
      <c r="W12" s="655">
        <v>609.9</v>
      </c>
      <c r="X12" s="655">
        <v>2511.9</v>
      </c>
      <c r="Y12" s="655"/>
      <c r="Z12" s="655">
        <v>606.5</v>
      </c>
      <c r="AA12" s="655">
        <v>666.3</v>
      </c>
      <c r="AB12" s="1864">
        <v>655</v>
      </c>
      <c r="AC12" s="655">
        <f>+Z12+AA12+AB12</f>
        <v>1927.8</v>
      </c>
      <c r="AD12" s="1269"/>
      <c r="AE12" s="655">
        <v>2574</v>
      </c>
      <c r="AF12" s="655"/>
      <c r="AG12" s="655">
        <v>640</v>
      </c>
      <c r="AH12" s="655"/>
      <c r="AI12" s="1731">
        <v>2550</v>
      </c>
      <c r="AJ12" s="751">
        <v>2600</v>
      </c>
      <c r="AK12" s="429"/>
      <c r="AL12" t="s">
        <v>2318</v>
      </c>
      <c r="AO12" s="30"/>
      <c r="AP12" s="1167" t="s">
        <v>1367</v>
      </c>
      <c r="AQ12" s="1166">
        <f>+AQ9/((403+AQ20)/2)</f>
        <v>0.12981393822515316</v>
      </c>
      <c r="AR12" s="1166">
        <f t="shared" ref="AR12:AX12" si="3">+AR9/((+AQ20+AR20)/2)</f>
        <v>1.0410067329095421E-2</v>
      </c>
      <c r="AS12" s="1166">
        <f t="shared" si="3"/>
        <v>0.11031787688148127</v>
      </c>
      <c r="AT12" s="1166">
        <f t="shared" si="3"/>
        <v>0.1173153566776811</v>
      </c>
      <c r="AU12" s="1166">
        <f t="shared" si="3"/>
        <v>7.6396824355294948E-2</v>
      </c>
      <c r="AV12" s="1166"/>
      <c r="AW12" s="737">
        <f>+AW9/((+AU20+AW20)/2)</f>
        <v>0.13915181610287605</v>
      </c>
      <c r="AX12" s="737">
        <f t="shared" si="3"/>
        <v>0.20535748433117262</v>
      </c>
      <c r="AY12" s="737">
        <f>+AY9/((+AX22+AY20)/2)</f>
        <v>0.22688308592878831</v>
      </c>
      <c r="AZ12" s="737">
        <f>+AZ9/((+AY20+AZ20)/2)</f>
        <v>0.24282689172552688</v>
      </c>
      <c r="BB12" s="492">
        <f>SUM(AQ12:AU12)</f>
        <v>0.44425406346870588</v>
      </c>
      <c r="BC12" s="13">
        <f>+BB12/5</f>
        <v>8.8850812693741177E-2</v>
      </c>
      <c r="BD12" s="152">
        <f>SUM(AW12:AY12)</f>
        <v>0.57139238636283696</v>
      </c>
      <c r="BE12" s="13">
        <f>+BD12/3</f>
        <v>0.19046412878761232</v>
      </c>
    </row>
    <row r="13" spans="2:58">
      <c r="B13" s="30" t="s">
        <v>140</v>
      </c>
      <c r="C13" s="73" t="s">
        <v>841</v>
      </c>
      <c r="D13" s="333">
        <v>24.2</v>
      </c>
      <c r="E13" s="333">
        <v>200.5</v>
      </c>
      <c r="F13" s="333">
        <v>221.1</v>
      </c>
      <c r="G13" s="333">
        <v>169.6</v>
      </c>
      <c r="H13" s="333">
        <v>-112.8</v>
      </c>
      <c r="I13" s="333">
        <v>402</v>
      </c>
      <c r="J13" s="333"/>
      <c r="K13" s="655">
        <v>184.1</v>
      </c>
      <c r="L13" s="655">
        <v>256.60000000000002</v>
      </c>
      <c r="M13" s="655">
        <v>317.7</v>
      </c>
      <c r="N13" s="333">
        <v>1014.7</v>
      </c>
      <c r="O13" s="333"/>
      <c r="P13" s="655">
        <v>333.8</v>
      </c>
      <c r="Q13" s="655">
        <v>269.2</v>
      </c>
      <c r="R13" s="655">
        <v>291.5</v>
      </c>
      <c r="S13" s="655">
        <v>1022.2</v>
      </c>
      <c r="T13" s="655"/>
      <c r="U13" s="655">
        <v>127.7</v>
      </c>
      <c r="V13" s="655">
        <v>221.6</v>
      </c>
      <c r="W13" s="655">
        <v>260.2</v>
      </c>
      <c r="X13" s="655">
        <v>956.3</v>
      </c>
      <c r="Y13" s="655"/>
      <c r="Z13" s="655">
        <v>128.6</v>
      </c>
      <c r="AA13" s="655">
        <v>130.69999999999999</v>
      </c>
      <c r="AB13" s="1864">
        <v>305</v>
      </c>
      <c r="AC13" s="655">
        <f>+Z13+AA13+AB13</f>
        <v>564.29999999999995</v>
      </c>
      <c r="AD13" s="1269"/>
      <c r="AE13" s="655">
        <v>816.1</v>
      </c>
      <c r="AF13" s="655"/>
      <c r="AG13" s="655">
        <v>150</v>
      </c>
      <c r="AH13" s="655"/>
      <c r="AI13" s="1731">
        <v>1050</v>
      </c>
      <c r="AJ13" s="751">
        <v>1100</v>
      </c>
      <c r="AK13" s="429"/>
      <c r="AL13" t="s">
        <v>1869</v>
      </c>
      <c r="AO13" s="30"/>
      <c r="AP13" s="46" t="s">
        <v>1368</v>
      </c>
      <c r="AQ13" s="2068" t="s">
        <v>1747</v>
      </c>
      <c r="AR13" s="2069"/>
      <c r="AS13" s="2069"/>
      <c r="AT13" s="2069"/>
      <c r="AU13" s="2070"/>
      <c r="AV13" s="1670"/>
      <c r="AW13" s="2063" t="s">
        <v>1883</v>
      </c>
      <c r="AX13" s="2064"/>
      <c r="AY13" s="2064"/>
      <c r="AZ13" s="2065"/>
      <c r="BB13" s="53"/>
      <c r="BC13" s="492"/>
    </row>
    <row r="14" spans="2:58" s="11" customFormat="1">
      <c r="B14" s="30" t="s">
        <v>141</v>
      </c>
      <c r="C14" s="73" t="s">
        <v>2210</v>
      </c>
      <c r="D14" s="333">
        <v>103.2</v>
      </c>
      <c r="E14" s="333">
        <v>261.60000000000002</v>
      </c>
      <c r="F14" s="333">
        <v>263.7</v>
      </c>
      <c r="G14" s="333">
        <v>103.9</v>
      </c>
      <c r="H14" s="333">
        <v>-139.30000000000001</v>
      </c>
      <c r="I14" s="333">
        <v>71</v>
      </c>
      <c r="J14" s="333"/>
      <c r="K14" s="655">
        <v>-8.6999999999999993</v>
      </c>
      <c r="L14" s="655">
        <v>-60</v>
      </c>
      <c r="M14" s="655">
        <f>1397.6-1314.1</f>
        <v>83.5</v>
      </c>
      <c r="N14" s="333">
        <v>61</v>
      </c>
      <c r="O14" s="333"/>
      <c r="P14" s="655">
        <v>-68</v>
      </c>
      <c r="Q14" s="655">
        <v>32.1</v>
      </c>
      <c r="R14" s="655">
        <f>1744.5-1640.4</f>
        <v>104.09999999999991</v>
      </c>
      <c r="S14" s="655">
        <f>1668.5-1622.5</f>
        <v>46</v>
      </c>
      <c r="T14" s="655"/>
      <c r="U14" s="655">
        <f>1514.2-1500.3</f>
        <v>13.900000000000091</v>
      </c>
      <c r="V14" s="655">
        <f>1538.1-1484.6</f>
        <v>53.5</v>
      </c>
      <c r="W14" s="655">
        <f>1620.4-1582.4</f>
        <v>38</v>
      </c>
      <c r="X14" s="655">
        <f>6682.8-6470.5</f>
        <v>212.30000000000018</v>
      </c>
      <c r="Y14" s="655"/>
      <c r="Z14" s="655">
        <f>2089.4-2147.7</f>
        <v>-58.299999999999727</v>
      </c>
      <c r="AA14" s="655">
        <f>2181-2061.1</f>
        <v>119.90000000000009</v>
      </c>
      <c r="AB14" s="1864">
        <f>2198.1-2003.5</f>
        <v>194.59999999999991</v>
      </c>
      <c r="AC14" s="1865">
        <f>+Z14+AA14+AB14</f>
        <v>256.20000000000027</v>
      </c>
      <c r="AD14" s="1269"/>
      <c r="AE14" s="655">
        <f>8537.6-8196.9</f>
        <v>340.70000000000073</v>
      </c>
      <c r="AF14" s="655"/>
      <c r="AG14" s="655">
        <v>75</v>
      </c>
      <c r="AH14" s="655"/>
      <c r="AI14" s="1731">
        <v>450</v>
      </c>
      <c r="AJ14" s="751">
        <v>500</v>
      </c>
      <c r="AK14" s="429"/>
      <c r="AL14" t="s">
        <v>1944</v>
      </c>
      <c r="AM14"/>
      <c r="AO14" s="30"/>
      <c r="AP14" s="46" t="s">
        <v>1093</v>
      </c>
      <c r="AQ14" s="644">
        <v>367.4</v>
      </c>
      <c r="AR14" s="644">
        <v>449.55</v>
      </c>
      <c r="AS14" s="644">
        <v>432.46</v>
      </c>
      <c r="AT14" s="644">
        <v>486.1</v>
      </c>
      <c r="AU14" s="644">
        <v>478.33</v>
      </c>
      <c r="AV14" s="644"/>
      <c r="AW14" s="513">
        <v>630.6</v>
      </c>
      <c r="AX14" s="513">
        <v>657.68</v>
      </c>
      <c r="AY14" s="513">
        <v>939.65</v>
      </c>
      <c r="AZ14" s="513">
        <f>+X40</f>
        <v>1059.5999999999999</v>
      </c>
    </row>
    <row r="15" spans="2:58" s="11" customFormat="1">
      <c r="B15" s="42"/>
      <c r="C15" s="48" t="s">
        <v>1560</v>
      </c>
      <c r="D15" s="336">
        <f>SUM(D11:D14)</f>
        <v>1258.5</v>
      </c>
      <c r="E15" s="336">
        <f t="shared" ref="E15:I15" si="4">SUM(E11:E14)</f>
        <v>379.6</v>
      </c>
      <c r="F15" s="336">
        <f t="shared" si="4"/>
        <v>1587.1</v>
      </c>
      <c r="G15" s="336">
        <f t="shared" si="4"/>
        <v>1548.2</v>
      </c>
      <c r="H15" s="336">
        <f t="shared" si="4"/>
        <v>826.10000000000014</v>
      </c>
      <c r="I15" s="336">
        <f t="shared" si="4"/>
        <v>1915</v>
      </c>
      <c r="J15" s="336"/>
      <c r="K15" s="336">
        <f>SUM(K11:K14)</f>
        <v>668.3</v>
      </c>
      <c r="L15" s="336">
        <f t="shared" ref="L15:N15" si="5">SUM(L11:L14)</f>
        <v>700.7</v>
      </c>
      <c r="M15" s="336">
        <f t="shared" si="5"/>
        <v>640.9</v>
      </c>
      <c r="N15" s="336">
        <f t="shared" si="5"/>
        <v>3142.8</v>
      </c>
      <c r="O15" s="336"/>
      <c r="P15" s="336">
        <f>SUM(P11:P14)</f>
        <v>961.90000000000009</v>
      </c>
      <c r="Q15" s="336">
        <f t="shared" ref="Q15:S15" si="6">SUM(Q11:Q14)</f>
        <v>1103.3999999999999</v>
      </c>
      <c r="R15" s="336">
        <f t="shared" si="6"/>
        <v>1199.9000000000001</v>
      </c>
      <c r="S15" s="336">
        <f t="shared" si="6"/>
        <v>4486.6000000000004</v>
      </c>
      <c r="T15" s="336"/>
      <c r="U15" s="336">
        <f>SUM(U11:U14)</f>
        <v>1104.4000000000001</v>
      </c>
      <c r="V15" s="336">
        <f t="shared" ref="V15:X15" si="7">SUM(V11:V14)</f>
        <v>1259.5</v>
      </c>
      <c r="W15" s="336">
        <f t="shared" si="7"/>
        <v>1297.8</v>
      </c>
      <c r="X15" s="336">
        <f t="shared" si="7"/>
        <v>5471.9000000000005</v>
      </c>
      <c r="Y15" s="1760"/>
      <c r="Z15" s="336">
        <f>SUM(Z11:Z14)</f>
        <v>773.70000000000027</v>
      </c>
      <c r="AA15" s="336">
        <f t="shared" ref="AA15:AC15" si="8">SUM(AA11:AA14)</f>
        <v>1343.8</v>
      </c>
      <c r="AB15" s="336">
        <f t="shared" si="8"/>
        <v>1694.8999999999999</v>
      </c>
      <c r="AC15" s="1748">
        <f t="shared" si="8"/>
        <v>3812.4</v>
      </c>
      <c r="AD15" s="1760"/>
      <c r="AE15" s="336">
        <f>SUM(AE11:AE14)</f>
        <v>5547.4000000000015</v>
      </c>
      <c r="AF15" s="1760"/>
      <c r="AG15" s="336">
        <f>SUM(AG11:AG14)</f>
        <v>1280</v>
      </c>
      <c r="AH15" s="1760"/>
      <c r="AI15" s="336">
        <f>SUM(AI11:AI14)</f>
        <v>5784</v>
      </c>
      <c r="AJ15" s="336">
        <f>SUM(AJ11:AJ14)</f>
        <v>5969</v>
      </c>
      <c r="AK15" s="469"/>
      <c r="AO15" s="30"/>
    </row>
    <row r="16" spans="2:58" s="11" customFormat="1">
      <c r="B16" s="42"/>
      <c r="C16" s="48" t="s">
        <v>2331</v>
      </c>
      <c r="D16" s="336">
        <f t="shared" ref="D16:F16" si="9">+D15/D32</f>
        <v>54.717391304347828</v>
      </c>
      <c r="E16" s="336">
        <f t="shared" si="9"/>
        <v>14.944881889763781</v>
      </c>
      <c r="F16" s="336">
        <f t="shared" si="9"/>
        <v>57.712727272727271</v>
      </c>
      <c r="G16" s="336">
        <f>+G15/G35</f>
        <v>54.706713780918726</v>
      </c>
      <c r="H16" s="336">
        <f>+H15/H35</f>
        <v>29.466738006063853</v>
      </c>
      <c r="I16" s="336">
        <f>+I15/I35</f>
        <v>71.455223880597018</v>
      </c>
      <c r="J16" s="336"/>
      <c r="K16" s="336">
        <f>+K15/K32</f>
        <v>28.317796610169488</v>
      </c>
      <c r="L16" s="336">
        <f>+L15/L32</f>
        <v>29.690677966101696</v>
      </c>
      <c r="M16" s="336">
        <f>+M15/M32</f>
        <v>27.156779661016948</v>
      </c>
      <c r="N16" s="336">
        <f>+N15/N35</f>
        <v>123.05403288958497</v>
      </c>
      <c r="O16" s="336"/>
      <c r="P16" s="336">
        <f>+P15/P32</f>
        <v>41.283261802575112</v>
      </c>
      <c r="Q16" s="336">
        <f>+Q15/Q32</f>
        <v>47.35622317596566</v>
      </c>
      <c r="R16" s="336">
        <f>+R15/R32</f>
        <v>51.719827586206904</v>
      </c>
      <c r="S16" s="336">
        <f>+S15/S35</f>
        <v>177.38906807009209</v>
      </c>
      <c r="T16" s="336"/>
      <c r="U16" s="336">
        <f>+U15/U32</f>
        <v>48.017391304347832</v>
      </c>
      <c r="V16" s="336">
        <f>+V15/V32</f>
        <v>56.03007251212243</v>
      </c>
      <c r="W16" s="336">
        <f>+W15/W32</f>
        <v>57.68</v>
      </c>
      <c r="X16" s="336">
        <f>+X15/X35</f>
        <v>225.18106995884776</v>
      </c>
      <c r="Y16" s="1760"/>
      <c r="Z16" s="336">
        <f>+Z15/Z32</f>
        <v>35.735069973673284</v>
      </c>
      <c r="AA16" s="336">
        <f>+AA15/AA32</f>
        <v>62.299490032452475</v>
      </c>
      <c r="AB16" s="336">
        <f>+AB15/AB32</f>
        <v>78.832558139534882</v>
      </c>
      <c r="AC16" s="337">
        <f>+AC15/AC32</f>
        <v>177.32093023255814</v>
      </c>
      <c r="AD16" s="1760"/>
      <c r="AE16" s="336">
        <f>+AE15/AE35</f>
        <v>237.06837606837615</v>
      </c>
      <c r="AF16" s="1760"/>
      <c r="AG16" s="336">
        <f>+AG15/AG32</f>
        <v>59.119671146829248</v>
      </c>
      <c r="AH16" s="1760"/>
      <c r="AI16" s="336">
        <f>+AI15/AI35</f>
        <v>258.79194630872479</v>
      </c>
      <c r="AJ16" s="336">
        <f>+AJ15/AJ35</f>
        <v>275.06912442396316</v>
      </c>
      <c r="AK16" s="469"/>
      <c r="AO16" s="2013">
        <f>(+AI16-AE16)/AE16</f>
        <v>9.1634196853329103E-2</v>
      </c>
      <c r="AP16" s="11" t="s">
        <v>43</v>
      </c>
    </row>
    <row r="17" spans="2:53">
      <c r="B17" s="30" t="s">
        <v>142</v>
      </c>
      <c r="C17" s="1769" t="s">
        <v>2091</v>
      </c>
      <c r="D17" s="335"/>
      <c r="E17" s="335"/>
      <c r="F17" s="335"/>
      <c r="G17" s="335"/>
      <c r="H17" s="335"/>
      <c r="I17" s="903" t="s">
        <v>40</v>
      </c>
      <c r="J17" s="335"/>
      <c r="K17" s="654"/>
      <c r="L17" s="654"/>
      <c r="M17" s="654"/>
      <c r="N17" s="903" t="s">
        <v>40</v>
      </c>
      <c r="O17" s="335"/>
      <c r="P17" s="654">
        <v>309.60000000000002</v>
      </c>
      <c r="Q17" s="654">
        <v>221</v>
      </c>
      <c r="R17" s="654">
        <v>459</v>
      </c>
      <c r="S17" s="1770">
        <f>210.1+-347.5</f>
        <v>-137.4</v>
      </c>
      <c r="T17" s="654"/>
      <c r="U17" s="654">
        <v>273</v>
      </c>
      <c r="V17" s="654">
        <v>229.5</v>
      </c>
      <c r="W17" s="654">
        <v>-731.8</v>
      </c>
      <c r="X17" s="1770">
        <f>167.9+29.7</f>
        <v>197.6</v>
      </c>
      <c r="Y17" s="655"/>
      <c r="Z17" s="1770">
        <f>+-212.7+-152.7</f>
        <v>-365.4</v>
      </c>
      <c r="AA17" s="1771">
        <f>3.2+-19.3</f>
        <v>-16.100000000000001</v>
      </c>
      <c r="AB17" s="1867">
        <v>-212.7</v>
      </c>
      <c r="AC17" s="1770">
        <f>+Z17+AA17+AB17</f>
        <v>-594.20000000000005</v>
      </c>
      <c r="AD17" s="1269"/>
      <c r="AE17" s="1770">
        <v>-956</v>
      </c>
      <c r="AF17" s="655"/>
      <c r="AG17" s="1770">
        <v>350</v>
      </c>
      <c r="AH17" s="655"/>
      <c r="AI17" s="1730">
        <v>-100</v>
      </c>
      <c r="AJ17" s="750">
        <v>-100</v>
      </c>
      <c r="AK17" s="429"/>
      <c r="AL17" s="428" t="s">
        <v>1870</v>
      </c>
      <c r="AM17" s="1772"/>
      <c r="AO17" s="2014">
        <f>(+AJ16-AI16)/AI16</f>
        <v>6.2896772281393093E-2</v>
      </c>
      <c r="AP17" s="791" t="s">
        <v>1746</v>
      </c>
      <c r="AQ17" s="1165">
        <v>2016</v>
      </c>
      <c r="AR17" s="1165">
        <v>2017</v>
      </c>
      <c r="AS17" s="1165">
        <v>2018</v>
      </c>
      <c r="AT17" s="1165">
        <v>2019</v>
      </c>
      <c r="AU17" s="1165">
        <v>2020</v>
      </c>
      <c r="AV17" s="1165"/>
      <c r="AW17" s="40">
        <v>2021</v>
      </c>
      <c r="AX17" s="40">
        <v>2022</v>
      </c>
      <c r="AY17" s="488">
        <v>2023</v>
      </c>
      <c r="AZ17" s="488" t="s">
        <v>1060</v>
      </c>
      <c r="BA17" s="11"/>
    </row>
    <row r="18" spans="2:53">
      <c r="B18" s="30" t="s">
        <v>143</v>
      </c>
      <c r="C18" s="1755" t="s">
        <v>2097</v>
      </c>
      <c r="D18" s="333">
        <v>-185.1</v>
      </c>
      <c r="E18" s="333">
        <v>-207.4</v>
      </c>
      <c r="F18" s="333">
        <v>-242.9</v>
      </c>
      <c r="G18" s="333">
        <v>-264.2</v>
      </c>
      <c r="H18" s="333">
        <v>-208.1</v>
      </c>
      <c r="I18" s="333">
        <v>-309</v>
      </c>
      <c r="J18" s="333"/>
      <c r="K18" s="655">
        <v>-22.9</v>
      </c>
      <c r="L18" s="655">
        <v>27.5</v>
      </c>
      <c r="M18" s="655">
        <v>-5.6</v>
      </c>
      <c r="N18" s="333">
        <v>-167.3</v>
      </c>
      <c r="O18" s="333"/>
      <c r="P18" s="1097">
        <v>-42.5</v>
      </c>
      <c r="Q18" s="1097">
        <f>126-221</f>
        <v>-95</v>
      </c>
      <c r="R18" s="1097">
        <f>435-459</f>
        <v>-24</v>
      </c>
      <c r="S18" s="1097">
        <v>0</v>
      </c>
      <c r="T18" s="655"/>
      <c r="U18" s="1097">
        <v>-21</v>
      </c>
      <c r="V18" s="1097">
        <v>-63.3</v>
      </c>
      <c r="W18" s="1097">
        <v>-47</v>
      </c>
      <c r="X18" s="1097">
        <v>0</v>
      </c>
      <c r="Y18" s="655"/>
      <c r="Z18" s="1097">
        <v>0</v>
      </c>
      <c r="AA18" s="1097">
        <v>0</v>
      </c>
      <c r="AB18" s="1866">
        <v>0</v>
      </c>
      <c r="AC18" s="1097">
        <v>0</v>
      </c>
      <c r="AD18" s="1269"/>
      <c r="AE18" s="1097">
        <v>0</v>
      </c>
      <c r="AF18" s="655"/>
      <c r="AG18" s="1097">
        <v>0</v>
      </c>
      <c r="AH18" s="655"/>
      <c r="AI18" s="1731">
        <v>-250</v>
      </c>
      <c r="AJ18" s="751">
        <v>-250</v>
      </c>
      <c r="AK18" s="429"/>
      <c r="AL18" s="428" t="s">
        <v>2323</v>
      </c>
      <c r="AM18" s="428"/>
      <c r="AP18" s="46" t="s">
        <v>1032</v>
      </c>
      <c r="AQ18" s="644">
        <v>-24.18</v>
      </c>
      <c r="AR18" s="644">
        <v>66.739999999999995</v>
      </c>
      <c r="AS18" s="644">
        <v>12.03</v>
      </c>
      <c r="AT18" s="644">
        <v>72.8</v>
      </c>
      <c r="AU18" s="644">
        <v>6.59</v>
      </c>
      <c r="AV18" s="644"/>
      <c r="AW18" s="513">
        <v>129.33000000000001</v>
      </c>
      <c r="AX18" s="513">
        <v>46.62</v>
      </c>
      <c r="AY18" s="513">
        <v>186.87</v>
      </c>
      <c r="AZ18" s="513">
        <f>+X29</f>
        <v>173.41</v>
      </c>
      <c r="BA18" s="42"/>
    </row>
    <row r="19" spans="2:53">
      <c r="B19" s="30" t="s">
        <v>144</v>
      </c>
      <c r="C19" s="73" t="s">
        <v>133</v>
      </c>
      <c r="D19" s="333">
        <v>-242.8</v>
      </c>
      <c r="E19" s="333">
        <v>-331.2</v>
      </c>
      <c r="F19" s="333">
        <v>-347</v>
      </c>
      <c r="G19" s="333">
        <v>-472</v>
      </c>
      <c r="H19" s="333">
        <v>-475.9</v>
      </c>
      <c r="I19" s="333">
        <v>-514</v>
      </c>
      <c r="J19" s="333"/>
      <c r="K19" s="655">
        <v>-103.9</v>
      </c>
      <c r="L19" s="655">
        <v>-108.8</v>
      </c>
      <c r="M19" s="655">
        <v>-114.4</v>
      </c>
      <c r="N19" s="333">
        <v>-452.8</v>
      </c>
      <c r="O19" s="333"/>
      <c r="P19" s="655">
        <v>-124</v>
      </c>
      <c r="Q19" s="655">
        <v>-130.4</v>
      </c>
      <c r="R19" s="655">
        <v>-124.8</v>
      </c>
      <c r="S19" s="655">
        <v>-510</v>
      </c>
      <c r="T19" s="655"/>
      <c r="U19" s="655">
        <v>-151.5</v>
      </c>
      <c r="V19" s="655">
        <v>-160.4</v>
      </c>
      <c r="W19" s="655">
        <v>-164.4</v>
      </c>
      <c r="X19" s="655">
        <v>-649</v>
      </c>
      <c r="Y19" s="655"/>
      <c r="Z19" s="655">
        <v>-190.4</v>
      </c>
      <c r="AA19" s="655">
        <v>-207.6</v>
      </c>
      <c r="AB19" s="1864">
        <v>-213.1</v>
      </c>
      <c r="AC19" s="655">
        <f>+Z19+AA19+AB19</f>
        <v>-611.1</v>
      </c>
      <c r="AD19" s="1269"/>
      <c r="AE19" s="655">
        <v>-821.9</v>
      </c>
      <c r="AF19" s="655"/>
      <c r="AG19" s="655">
        <v>-220</v>
      </c>
      <c r="AH19" s="655"/>
      <c r="AI19" s="1731">
        <v>-875</v>
      </c>
      <c r="AJ19" s="751">
        <v>-900</v>
      </c>
      <c r="AK19" s="429"/>
      <c r="AL19" t="s">
        <v>2322</v>
      </c>
      <c r="AP19" s="46" t="s">
        <v>817</v>
      </c>
      <c r="AQ19" s="405">
        <v>10</v>
      </c>
      <c r="AR19" s="405">
        <v>10</v>
      </c>
      <c r="AS19" s="405">
        <v>10</v>
      </c>
      <c r="AT19" s="405">
        <v>10</v>
      </c>
      <c r="AU19" s="405">
        <v>10</v>
      </c>
      <c r="AV19" s="405"/>
      <c r="AW19" s="318">
        <v>10</v>
      </c>
      <c r="AX19" s="318">
        <v>10</v>
      </c>
      <c r="AY19" s="318">
        <v>10</v>
      </c>
      <c r="AZ19" s="318">
        <v>15</v>
      </c>
    </row>
    <row r="20" spans="2:53">
      <c r="B20" s="30" t="s">
        <v>145</v>
      </c>
      <c r="C20" s="73" t="s">
        <v>880</v>
      </c>
      <c r="D20" s="333">
        <v>-181.3</v>
      </c>
      <c r="E20" s="333">
        <v>-275.3</v>
      </c>
      <c r="F20" s="333">
        <v>-329</v>
      </c>
      <c r="G20" s="333">
        <v>-271.8</v>
      </c>
      <c r="H20" s="333">
        <v>-328.2</v>
      </c>
      <c r="I20" s="333">
        <v>-409</v>
      </c>
      <c r="J20" s="333"/>
      <c r="K20" s="655">
        <v>-78.8</v>
      </c>
      <c r="L20" s="655">
        <v>-75.7</v>
      </c>
      <c r="M20" s="655">
        <v>-75.5</v>
      </c>
      <c r="N20" s="333">
        <v>-296.7</v>
      </c>
      <c r="O20" s="333"/>
      <c r="P20" s="655">
        <v>-107</v>
      </c>
      <c r="Q20" s="655">
        <v>-90</v>
      </c>
      <c r="R20" s="655">
        <v>-75.5</v>
      </c>
      <c r="S20" s="655">
        <v>-430.2</v>
      </c>
      <c r="T20" s="655"/>
      <c r="U20" s="655">
        <v>-90.7</v>
      </c>
      <c r="V20" s="655">
        <v>-95.7</v>
      </c>
      <c r="W20" s="655">
        <v>-147.6</v>
      </c>
      <c r="X20" s="655">
        <v>-450.2</v>
      </c>
      <c r="Y20" s="655"/>
      <c r="Z20" s="655">
        <v>-108.3</v>
      </c>
      <c r="AA20" s="655">
        <v>-118.1</v>
      </c>
      <c r="AB20" s="1864">
        <v>-130.69999999999999</v>
      </c>
      <c r="AC20" s="655">
        <f>+Z20+AA20+AB20</f>
        <v>-357.09999999999997</v>
      </c>
      <c r="AD20" s="1269"/>
      <c r="AE20" s="655">
        <v>-480.5</v>
      </c>
      <c r="AF20" s="655"/>
      <c r="AG20" s="655">
        <v>-120</v>
      </c>
      <c r="AH20" s="655"/>
      <c r="AI20" s="1731">
        <v>-490</v>
      </c>
      <c r="AJ20" s="751">
        <v>-500</v>
      </c>
      <c r="AK20" s="429"/>
      <c r="AO20" s="30"/>
      <c r="AP20" s="46" t="s">
        <v>1093</v>
      </c>
      <c r="AQ20" s="644">
        <v>367.4</v>
      </c>
      <c r="AR20" s="644">
        <v>449.55</v>
      </c>
      <c r="AS20" s="644">
        <v>432.46</v>
      </c>
      <c r="AT20" s="644">
        <v>486.1</v>
      </c>
      <c r="AU20" s="644">
        <v>478.33</v>
      </c>
      <c r="AV20" s="644"/>
      <c r="AW20" s="513">
        <v>630.6</v>
      </c>
      <c r="AX20" s="513">
        <v>657.68</v>
      </c>
      <c r="AY20" s="513">
        <v>939.65</v>
      </c>
      <c r="AZ20" s="513">
        <f>+X40</f>
        <v>1059.5999999999999</v>
      </c>
      <c r="BA20" s="42"/>
    </row>
    <row r="21" spans="2:53">
      <c r="B21" s="30" t="s">
        <v>146</v>
      </c>
      <c r="C21" s="73" t="s">
        <v>129</v>
      </c>
      <c r="D21" s="333">
        <v>-1203.5999999999999</v>
      </c>
      <c r="E21" s="333">
        <v>1467.5</v>
      </c>
      <c r="F21" s="333">
        <v>252.9</v>
      </c>
      <c r="G21" s="333">
        <v>1716</v>
      </c>
      <c r="H21" s="333">
        <v>313.10000000000002</v>
      </c>
      <c r="I21" s="333">
        <v>3445</v>
      </c>
      <c r="J21" s="333"/>
      <c r="K21" s="655">
        <v>-214.4</v>
      </c>
      <c r="L21" s="655">
        <v>-1547.9</v>
      </c>
      <c r="M21" s="655">
        <v>-519.1</v>
      </c>
      <c r="N21" s="333">
        <v>-1733.9</v>
      </c>
      <c r="O21" s="333"/>
      <c r="P21" s="655">
        <v>771</v>
      </c>
      <c r="Q21" s="655">
        <v>-324.10000000000002</v>
      </c>
      <c r="R21" s="655">
        <v>56</v>
      </c>
      <c r="S21" s="655">
        <v>1949.5</v>
      </c>
      <c r="T21" s="655"/>
      <c r="U21" s="655">
        <v>-58.5</v>
      </c>
      <c r="V21" s="655">
        <v>241.6</v>
      </c>
      <c r="W21" s="655">
        <v>1287.3</v>
      </c>
      <c r="X21" s="655">
        <v>1067.2</v>
      </c>
      <c r="Y21" s="655"/>
      <c r="Z21" s="655">
        <v>1056.0999999999999</v>
      </c>
      <c r="AA21" s="655">
        <v>952</v>
      </c>
      <c r="AB21" s="1864">
        <v>426.2</v>
      </c>
      <c r="AC21" s="655">
        <f>+Z21+AA21+AB21</f>
        <v>2434.2999999999997</v>
      </c>
      <c r="AD21" s="1269"/>
      <c r="AE21" s="655">
        <v>3151.4</v>
      </c>
      <c r="AF21" s="655"/>
      <c r="AG21" s="655">
        <v>-400</v>
      </c>
      <c r="AH21" s="655"/>
      <c r="AI21" s="1731">
        <v>1500</v>
      </c>
      <c r="AJ21" s="751">
        <v>1650</v>
      </c>
      <c r="AK21" s="429"/>
      <c r="AL21" t="s">
        <v>2328</v>
      </c>
      <c r="AO21" s="425"/>
      <c r="AP21" s="46" t="s">
        <v>1246</v>
      </c>
      <c r="AQ21" s="1279">
        <f t="shared" ref="AQ21:AU21" si="10">+AQ18/AQ25</f>
        <v>-6.277258566978193E-2</v>
      </c>
      <c r="AR21" s="1279">
        <f t="shared" si="10"/>
        <v>0.16338821225289182</v>
      </c>
      <c r="AS21" s="1279">
        <f t="shared" si="10"/>
        <v>2.7278602283420821E-2</v>
      </c>
      <c r="AT21" s="1279">
        <f t="shared" si="10"/>
        <v>0.15850897056261976</v>
      </c>
      <c r="AU21" s="1279">
        <f t="shared" si="10"/>
        <v>1.3666103294173759E-2</v>
      </c>
      <c r="AV21" s="1279"/>
      <c r="AW21" s="985">
        <f>+AW18/AW25</f>
        <v>0.23325187342753825</v>
      </c>
      <c r="AX21" s="985">
        <f>+AX18/AX25</f>
        <v>7.2375570528146055E-2</v>
      </c>
      <c r="AY21" s="985">
        <f>+AY18/AY25</f>
        <v>0.21959775078881039</v>
      </c>
      <c r="AZ21" s="985">
        <f>+AZ18/AZ25</f>
        <v>0.17347505314492934</v>
      </c>
    </row>
    <row r="22" spans="2:53">
      <c r="C22" s="73" t="s">
        <v>877</v>
      </c>
      <c r="D22" s="333">
        <v>0</v>
      </c>
      <c r="E22" s="333">
        <v>-28.6</v>
      </c>
      <c r="F22" s="333">
        <v>-58.9</v>
      </c>
      <c r="G22" s="333">
        <v>-23.7</v>
      </c>
      <c r="H22" s="333">
        <v>0</v>
      </c>
      <c r="I22" s="333">
        <v>0</v>
      </c>
      <c r="J22" s="333"/>
      <c r="K22" s="655">
        <v>0</v>
      </c>
      <c r="L22" s="655">
        <v>0</v>
      </c>
      <c r="M22" s="655">
        <v>0</v>
      </c>
      <c r="N22" s="333">
        <v>0</v>
      </c>
      <c r="O22" s="333"/>
      <c r="P22" s="655">
        <v>0</v>
      </c>
      <c r="Q22" s="655">
        <v>0</v>
      </c>
      <c r="R22" s="655">
        <v>0</v>
      </c>
      <c r="S22" s="655">
        <v>0</v>
      </c>
      <c r="T22" s="655"/>
      <c r="U22" s="655">
        <v>0</v>
      </c>
      <c r="V22" s="655">
        <v>0</v>
      </c>
      <c r="W22" s="655">
        <v>0</v>
      </c>
      <c r="X22" s="655">
        <v>0</v>
      </c>
      <c r="Y22" s="655"/>
      <c r="Z22" s="655">
        <v>0</v>
      </c>
      <c r="AA22" s="655">
        <v>0</v>
      </c>
      <c r="AB22" s="1864">
        <v>0</v>
      </c>
      <c r="AC22" s="655">
        <v>0</v>
      </c>
      <c r="AD22" s="1269"/>
      <c r="AE22" s="655">
        <v>0</v>
      </c>
      <c r="AF22" s="655"/>
      <c r="AG22" s="655">
        <v>0</v>
      </c>
      <c r="AH22" s="655"/>
      <c r="AI22" s="1731">
        <v>0</v>
      </c>
      <c r="AJ22" s="751">
        <v>0</v>
      </c>
      <c r="AK22" s="429"/>
      <c r="AO22" s="30"/>
      <c r="AW22" s="79" t="s">
        <v>1010</v>
      </c>
      <c r="AX22" s="477">
        <v>762.28</v>
      </c>
      <c r="AY22" s="24"/>
      <c r="AZ22" s="30"/>
    </row>
    <row r="23" spans="2:53">
      <c r="B23" s="30" t="s">
        <v>147</v>
      </c>
      <c r="C23" s="73" t="s">
        <v>878</v>
      </c>
      <c r="D23" s="333">
        <v>0</v>
      </c>
      <c r="E23" s="333">
        <v>1018.6</v>
      </c>
      <c r="F23" s="333">
        <v>0</v>
      </c>
      <c r="G23" s="333">
        <v>0</v>
      </c>
      <c r="H23" s="333">
        <v>117.1</v>
      </c>
      <c r="I23" s="333">
        <v>264</v>
      </c>
      <c r="J23" s="333"/>
      <c r="K23" s="655">
        <v>0</v>
      </c>
      <c r="L23" s="655">
        <v>0</v>
      </c>
      <c r="M23" s="655">
        <v>0</v>
      </c>
      <c r="N23" s="333">
        <v>1219.7</v>
      </c>
      <c r="O23" s="333"/>
      <c r="P23" s="655">
        <v>0</v>
      </c>
      <c r="Q23" s="655">
        <v>259.10000000000002</v>
      </c>
      <c r="R23" s="655">
        <v>0</v>
      </c>
      <c r="S23" s="655">
        <v>549.79999999999995</v>
      </c>
      <c r="T23" s="655"/>
      <c r="U23" s="655">
        <v>0</v>
      </c>
      <c r="V23" s="655">
        <v>0</v>
      </c>
      <c r="W23" s="655">
        <v>0</v>
      </c>
      <c r="X23" s="655">
        <v>0</v>
      </c>
      <c r="Y23" s="655"/>
      <c r="Z23" s="655">
        <v>0</v>
      </c>
      <c r="AA23" s="655">
        <v>0</v>
      </c>
      <c r="AB23" s="1864">
        <v>0</v>
      </c>
      <c r="AC23" s="1865">
        <v>0</v>
      </c>
      <c r="AD23" s="1269"/>
      <c r="AE23" s="655">
        <v>0</v>
      </c>
      <c r="AF23" s="655"/>
      <c r="AG23" s="655">
        <v>0</v>
      </c>
      <c r="AH23" s="655"/>
      <c r="AI23" s="1731">
        <v>350</v>
      </c>
      <c r="AJ23" s="751">
        <v>400</v>
      </c>
      <c r="AK23" s="429"/>
      <c r="AL23" s="282" t="s">
        <v>2326</v>
      </c>
      <c r="AO23" s="425"/>
    </row>
    <row r="24" spans="2:53" s="11" customFormat="1">
      <c r="B24" s="42"/>
      <c r="C24" s="48" t="s">
        <v>130</v>
      </c>
      <c r="D24" s="336">
        <f>+D15+D18+D19+D20+D21+D22+D23</f>
        <v>-554.29999999999973</v>
      </c>
      <c r="E24" s="336">
        <f t="shared" ref="E24:I24" si="11">+E15+E18+E19+E20+E21+E22+E23</f>
        <v>2023.2</v>
      </c>
      <c r="F24" s="336">
        <f t="shared" si="11"/>
        <v>862.19999999999982</v>
      </c>
      <c r="G24" s="336">
        <f t="shared" si="11"/>
        <v>2232.5</v>
      </c>
      <c r="H24" s="336">
        <f t="shared" si="11"/>
        <v>244.10000000000016</v>
      </c>
      <c r="I24" s="336">
        <f t="shared" si="11"/>
        <v>4392</v>
      </c>
      <c r="J24" s="336"/>
      <c r="K24" s="336">
        <f>+K15+K18+K19+K20+K21+K22+K23</f>
        <v>248.29999999999998</v>
      </c>
      <c r="L24" s="336">
        <f t="shared" ref="L24:N24" si="12">+L15+L18+L19+L20+L21+L22+L23</f>
        <v>-1004.2</v>
      </c>
      <c r="M24" s="336">
        <f t="shared" si="12"/>
        <v>-73.700000000000045</v>
      </c>
      <c r="N24" s="336">
        <f t="shared" si="12"/>
        <v>1711.8</v>
      </c>
      <c r="O24" s="336"/>
      <c r="P24" s="336">
        <f>+P15+P17+P18+P19+P20+P21+P22+P23</f>
        <v>1769</v>
      </c>
      <c r="Q24" s="336">
        <f t="shared" ref="Q24:S24" si="13">+Q15+Q17+Q18+Q19+Q20+Q21+Q22+Q23</f>
        <v>943.99999999999977</v>
      </c>
      <c r="R24" s="336">
        <f t="shared" si="13"/>
        <v>1490.6000000000001</v>
      </c>
      <c r="S24" s="336">
        <f t="shared" si="13"/>
        <v>5908.3000000000011</v>
      </c>
      <c r="T24" s="336"/>
      <c r="U24" s="336">
        <f>+U15+U17+U18+U19+U20+U21+U22+U23</f>
        <v>1055.7</v>
      </c>
      <c r="V24" s="336">
        <f t="shared" ref="V24:X24" si="14">+V15+V17+V18+V19+V20+V21+V22+V23</f>
        <v>1411.1999999999998</v>
      </c>
      <c r="W24" s="336">
        <f t="shared" si="14"/>
        <v>1494.3</v>
      </c>
      <c r="X24" s="336">
        <f t="shared" si="14"/>
        <v>5637.5000000000009</v>
      </c>
      <c r="Y24" s="1760"/>
      <c r="Z24" s="336">
        <f>+Z15+Z17+Z18+Z19+Z20+Z21+Z22+Z23</f>
        <v>1165.7000000000003</v>
      </c>
      <c r="AA24" s="336">
        <f t="shared" ref="AA24:AC24" si="15">+AA15+AA17+AA18+AA19+AA20+AA21+AA22+AA23</f>
        <v>1954</v>
      </c>
      <c r="AB24" s="1100">
        <f t="shared" si="15"/>
        <v>1564.6</v>
      </c>
      <c r="AC24" s="1748">
        <f t="shared" si="15"/>
        <v>4684.2999999999993</v>
      </c>
      <c r="AD24" s="1760"/>
      <c r="AE24" s="336">
        <f>+AE15+AE17+AE18+AE19+AE20+AE21+AE22+AE23</f>
        <v>6440.4000000000015</v>
      </c>
      <c r="AF24" s="1760"/>
      <c r="AG24" s="336">
        <f>+AG15+AG17+AG18+AG19+AG20+AG21+AG22+AG23</f>
        <v>890</v>
      </c>
      <c r="AH24" s="1760"/>
      <c r="AI24" s="336">
        <f>+AI15+AI17+AI18+AI19+AI20+AI21+AI22+AI23</f>
        <v>5919</v>
      </c>
      <c r="AJ24" s="336">
        <f>+AJ15+AJ17+AJ18+AJ19+AJ20+AJ21+AJ22+AJ23</f>
        <v>6269</v>
      </c>
      <c r="AK24" s="469"/>
      <c r="AO24" s="54"/>
      <c r="AP24" t="s">
        <v>1370</v>
      </c>
      <c r="AQ24"/>
      <c r="AR24"/>
      <c r="AS24"/>
      <c r="AT24"/>
      <c r="AU24"/>
      <c r="AV24"/>
      <c r="AW24"/>
      <c r="AX24"/>
      <c r="AY24"/>
      <c r="AZ24"/>
      <c r="BA24"/>
    </row>
    <row r="25" spans="2:53">
      <c r="B25" s="30" t="s">
        <v>1011</v>
      </c>
      <c r="C25" s="50" t="s">
        <v>131</v>
      </c>
      <c r="D25" s="318">
        <v>159.6</v>
      </c>
      <c r="E25" s="318">
        <v>-408.3</v>
      </c>
      <c r="F25" s="318">
        <v>-44.2</v>
      </c>
      <c r="G25" s="318">
        <v>-261.5</v>
      </c>
      <c r="H25" s="318">
        <v>-207</v>
      </c>
      <c r="I25" s="318">
        <v>-726</v>
      </c>
      <c r="J25" s="318"/>
      <c r="K25" s="318">
        <v>-70.2</v>
      </c>
      <c r="L25" s="318">
        <v>88</v>
      </c>
      <c r="M25" s="318">
        <v>-5.6</v>
      </c>
      <c r="N25" s="318">
        <v>-425.2</v>
      </c>
      <c r="O25" s="318"/>
      <c r="P25" s="318">
        <v>-365.1</v>
      </c>
      <c r="Q25" s="318">
        <v>-115.5</v>
      </c>
      <c r="R25" s="318">
        <v>-304.3</v>
      </c>
      <c r="S25" s="318">
        <v>-813.4</v>
      </c>
      <c r="T25" s="318"/>
      <c r="U25" s="318">
        <v>-286.39999999999998</v>
      </c>
      <c r="V25" s="318">
        <v>-355.4</v>
      </c>
      <c r="W25" s="318">
        <v>-374.5</v>
      </c>
      <c r="X25" s="318">
        <v>-1375.6</v>
      </c>
      <c r="Y25" s="333"/>
      <c r="Z25" s="318">
        <v>-212.7</v>
      </c>
      <c r="AA25" s="318">
        <v>-352.1</v>
      </c>
      <c r="AB25" s="318">
        <v>-318.89999999999998</v>
      </c>
      <c r="AC25" s="654">
        <f>+Z25+AA25+AB25</f>
        <v>-883.69999999999993</v>
      </c>
      <c r="AD25" s="333"/>
      <c r="AE25" s="318">
        <v>-1156.5</v>
      </c>
      <c r="AF25" s="333"/>
      <c r="AG25" s="318">
        <f>+-AG24*0.23</f>
        <v>-204.70000000000002</v>
      </c>
      <c r="AH25" s="333"/>
      <c r="AI25" s="765">
        <f>+-AI24*AI38</f>
        <v>-1302.18</v>
      </c>
      <c r="AJ25" s="719">
        <f>+-AJ24*AJ38</f>
        <v>-1379.18</v>
      </c>
      <c r="AK25" s="53"/>
      <c r="AL25" s="152"/>
      <c r="AO25" s="30"/>
      <c r="AP25" s="50" t="s">
        <v>1369</v>
      </c>
      <c r="AQ25" s="64">
        <f>(403+AQ20)/2</f>
        <v>385.2</v>
      </c>
      <c r="AR25" s="64">
        <f t="shared" ref="AR25:AU25" si="16">(+AQ20+AR20)/2</f>
        <v>408.47500000000002</v>
      </c>
      <c r="AS25" s="64">
        <f t="shared" si="16"/>
        <v>441.005</v>
      </c>
      <c r="AT25" s="64">
        <f t="shared" si="16"/>
        <v>459.28</v>
      </c>
      <c r="AU25" s="64">
        <f t="shared" si="16"/>
        <v>482.21500000000003</v>
      </c>
      <c r="AV25" s="64"/>
      <c r="AW25" s="64">
        <f>(+AU20+AW20)/2</f>
        <v>554.46500000000003</v>
      </c>
      <c r="AX25" s="64">
        <f>(+AW20+AX20)/2</f>
        <v>644.14</v>
      </c>
      <c r="AY25" s="64">
        <f>(+AX22+AY20)/2</f>
        <v>850.96499999999992</v>
      </c>
      <c r="AZ25" s="1168">
        <f>(+AY20+AZ20)/2</f>
        <v>999.625</v>
      </c>
    </row>
    <row r="26" spans="2:53">
      <c r="C26" s="48" t="s">
        <v>876</v>
      </c>
      <c r="D26" s="336">
        <f>+D24+D25</f>
        <v>-394.6999999999997</v>
      </c>
      <c r="E26" s="336">
        <f t="shared" ref="E26" si="17">+E24+E25</f>
        <v>1614.9</v>
      </c>
      <c r="F26" s="336">
        <f>+F24+F25</f>
        <v>817.99999999999977</v>
      </c>
      <c r="G26" s="336">
        <f t="shared" ref="G26:S26" si="18">+G24+G25</f>
        <v>1971</v>
      </c>
      <c r="H26" s="336">
        <f t="shared" si="18"/>
        <v>37.100000000000165</v>
      </c>
      <c r="I26" s="336">
        <f t="shared" si="18"/>
        <v>3666</v>
      </c>
      <c r="J26" s="336"/>
      <c r="K26" s="336">
        <f>+K24+K25</f>
        <v>178.09999999999997</v>
      </c>
      <c r="L26" s="336">
        <f>+L24+L25</f>
        <v>-916.2</v>
      </c>
      <c r="M26" s="336">
        <f>+M24+M25</f>
        <v>-79.30000000000004</v>
      </c>
      <c r="N26" s="336">
        <f t="shared" si="18"/>
        <v>1286.5999999999999</v>
      </c>
      <c r="O26" s="336"/>
      <c r="P26" s="336">
        <f t="shared" ref="P26" si="19">+P24+P25</f>
        <v>1403.9</v>
      </c>
      <c r="Q26" s="336">
        <f t="shared" ref="Q26" si="20">+Q24+Q25</f>
        <v>828.49999999999977</v>
      </c>
      <c r="R26" s="336">
        <f t="shared" ref="R26" si="21">+R24+R25</f>
        <v>1186.3000000000002</v>
      </c>
      <c r="S26" s="336">
        <f t="shared" si="18"/>
        <v>5094.9000000000015</v>
      </c>
      <c r="T26" s="336"/>
      <c r="U26" s="336">
        <f t="shared" ref="U26" si="22">+U24+U25</f>
        <v>769.30000000000007</v>
      </c>
      <c r="V26" s="336">
        <f t="shared" ref="V26" si="23">+V24+V25</f>
        <v>1055.7999999999997</v>
      </c>
      <c r="W26" s="336">
        <f t="shared" ref="W26" si="24">+W24+W25</f>
        <v>1119.8</v>
      </c>
      <c r="X26" s="336">
        <f t="shared" ref="X26:AE26" si="25">+X24+X25</f>
        <v>4261.9000000000015</v>
      </c>
      <c r="Y26" s="1760"/>
      <c r="Z26" s="336">
        <f t="shared" ref="Z26" si="26">+Z24+Z25</f>
        <v>953.00000000000023</v>
      </c>
      <c r="AA26" s="336">
        <f t="shared" ref="AA26:AC26" si="27">+AA24+AA25</f>
        <v>1601.9</v>
      </c>
      <c r="AB26" s="336">
        <f t="shared" si="27"/>
        <v>1245.6999999999998</v>
      </c>
      <c r="AC26" s="336">
        <f t="shared" si="27"/>
        <v>3800.5999999999995</v>
      </c>
      <c r="AD26" s="1760"/>
      <c r="AE26" s="336">
        <f t="shared" si="25"/>
        <v>5283.9000000000015</v>
      </c>
      <c r="AF26" s="1760"/>
      <c r="AG26" s="336">
        <f t="shared" ref="AG26" si="28">+AG24+AG25</f>
        <v>685.3</v>
      </c>
      <c r="AH26" s="1760"/>
      <c r="AI26" s="336">
        <f t="shared" ref="AI26:AJ26" si="29">+AI24+AI25</f>
        <v>4616.82</v>
      </c>
      <c r="AJ26" s="336">
        <f t="shared" si="29"/>
        <v>4889.82</v>
      </c>
      <c r="AK26" s="469"/>
      <c r="AL26" s="152"/>
      <c r="AO26" s="13">
        <f>+AO27/X33</f>
        <v>-3.7474616946649331E-2</v>
      </c>
      <c r="AP26" s="42"/>
      <c r="AQ26" s="62" t="s">
        <v>1015</v>
      </c>
      <c r="AR26" s="53">
        <f>+AQ8+AR8+AS8+AT8+AU8+AW8</f>
        <v>6849.5999999999995</v>
      </c>
      <c r="AU26" s="62" t="s">
        <v>1016</v>
      </c>
      <c r="AV26" s="62"/>
      <c r="AW26" s="53">
        <f>+AT8+AU8+AW8</f>
        <v>4253.2</v>
      </c>
      <c r="AY26" s="53">
        <f>+AY8-AW8</f>
        <v>2596.6000000000004</v>
      </c>
      <c r="AZ26" t="s">
        <v>1018</v>
      </c>
      <c r="BA26" s="11"/>
    </row>
    <row r="27" spans="2:53">
      <c r="B27" s="30" t="s">
        <v>1012</v>
      </c>
      <c r="C27" s="73" t="s">
        <v>137</v>
      </c>
      <c r="D27" s="333">
        <v>117.8</v>
      </c>
      <c r="E27" s="333">
        <v>-125.7</v>
      </c>
      <c r="F27" s="333">
        <v>441.9</v>
      </c>
      <c r="G27" s="333">
        <v>-32.9</v>
      </c>
      <c r="H27" s="333">
        <v>-181</v>
      </c>
      <c r="I27" s="333">
        <v>265.5</v>
      </c>
      <c r="J27" s="333"/>
      <c r="K27" s="655">
        <v>53.1</v>
      </c>
      <c r="L27" s="655">
        <v>-34</v>
      </c>
      <c r="M27" s="655">
        <v>-4.2</v>
      </c>
      <c r="N27" s="333">
        <v>139.6</v>
      </c>
      <c r="O27" s="333"/>
      <c r="P27" s="655">
        <v>154</v>
      </c>
      <c r="Q27" s="655">
        <v>94.7</v>
      </c>
      <c r="R27" s="655">
        <v>118.1</v>
      </c>
      <c r="S27" s="655">
        <v>713.24</v>
      </c>
      <c r="T27" s="655"/>
      <c r="U27" s="655">
        <v>-6.8</v>
      </c>
      <c r="V27" s="655">
        <v>140.4</v>
      </c>
      <c r="W27" s="655">
        <v>88.7</v>
      </c>
      <c r="X27" s="655">
        <v>388</v>
      </c>
      <c r="Y27" s="655"/>
      <c r="Z27" s="655">
        <v>7.3</v>
      </c>
      <c r="AA27" s="655">
        <v>165.2</v>
      </c>
      <c r="AB27" s="655">
        <v>94</v>
      </c>
      <c r="AC27" s="654">
        <f>+Z27+AA27+AB27</f>
        <v>266.5</v>
      </c>
      <c r="AD27" s="655"/>
      <c r="AE27" s="655">
        <v>511.4</v>
      </c>
      <c r="AF27" s="655"/>
      <c r="AG27" s="655">
        <f>+AG26*0.1</f>
        <v>68.53</v>
      </c>
      <c r="AH27" s="655"/>
      <c r="AI27" s="1731">
        <v>440</v>
      </c>
      <c r="AJ27" s="751">
        <v>460</v>
      </c>
      <c r="AK27" s="429"/>
      <c r="AM27" s="492">
        <f>+AI27/AI26</f>
        <v>9.5303693884535245E-2</v>
      </c>
      <c r="AO27" s="1930">
        <f>+AE33-X33</f>
        <v>-0.81199999999999761</v>
      </c>
      <c r="AP27" s="30"/>
      <c r="AQ27" s="703" t="s">
        <v>1017</v>
      </c>
      <c r="AR27">
        <f>+AR26/6</f>
        <v>1141.5999999999999</v>
      </c>
      <c r="AU27" s="62" t="s">
        <v>772</v>
      </c>
      <c r="AV27" s="62"/>
      <c r="AW27">
        <f>+AW26/3</f>
        <v>1417.7333333333333</v>
      </c>
    </row>
    <row r="28" spans="2:53" s="11" customFormat="1">
      <c r="B28" s="42"/>
      <c r="C28" s="47" t="s">
        <v>132</v>
      </c>
      <c r="D28" s="336">
        <f t="shared" ref="D28" si="30">+D26-D27</f>
        <v>-512.49999999999966</v>
      </c>
      <c r="E28" s="336">
        <f t="shared" ref="E28" si="31">+E26-E27</f>
        <v>1740.6000000000001</v>
      </c>
      <c r="F28" s="336">
        <f t="shared" ref="F28:H28" si="32">+F26-F27</f>
        <v>376.0999999999998</v>
      </c>
      <c r="G28" s="336">
        <f t="shared" si="32"/>
        <v>2003.9</v>
      </c>
      <c r="H28" s="336">
        <f t="shared" si="32"/>
        <v>218.10000000000016</v>
      </c>
      <c r="I28" s="336">
        <f>+I26-I27</f>
        <v>3400.5</v>
      </c>
      <c r="J28" s="336"/>
      <c r="K28" s="336">
        <f>+K26-K27</f>
        <v>124.99999999999997</v>
      </c>
      <c r="L28" s="336">
        <f>+L26-L27</f>
        <v>-882.2</v>
      </c>
      <c r="M28" s="336">
        <f>+M26-M27</f>
        <v>-75.100000000000037</v>
      </c>
      <c r="N28" s="336">
        <f t="shared" ref="N28:S28" si="33">+N26-N27</f>
        <v>1147</v>
      </c>
      <c r="O28" s="336"/>
      <c r="P28" s="336">
        <f t="shared" ref="P28" si="34">+P26-P27</f>
        <v>1249.9000000000001</v>
      </c>
      <c r="Q28" s="336">
        <f t="shared" ref="Q28" si="35">+Q26-Q27</f>
        <v>733.79999999999973</v>
      </c>
      <c r="R28" s="336">
        <f t="shared" ref="R28" si="36">+R26-R27</f>
        <v>1068.2000000000003</v>
      </c>
      <c r="S28" s="336">
        <f t="shared" si="33"/>
        <v>4381.6600000000017</v>
      </c>
      <c r="T28" s="336"/>
      <c r="U28" s="336">
        <f t="shared" ref="U28" si="37">+U26-U27</f>
        <v>776.1</v>
      </c>
      <c r="V28" s="336">
        <f t="shared" ref="V28" si="38">+V26-V27</f>
        <v>915.39999999999975</v>
      </c>
      <c r="W28" s="336">
        <f t="shared" ref="W28" si="39">+W26-W27</f>
        <v>1031.0999999999999</v>
      </c>
      <c r="X28" s="336">
        <f t="shared" ref="X28:AE28" si="40">+X26-X27</f>
        <v>3873.9000000000015</v>
      </c>
      <c r="Y28" s="1760"/>
      <c r="Z28" s="336">
        <f t="shared" ref="Z28" si="41">+Z26-Z27</f>
        <v>945.70000000000027</v>
      </c>
      <c r="AA28" s="336">
        <f t="shared" ref="AA28:AC28" si="42">+AA26-AA27</f>
        <v>1436.7</v>
      </c>
      <c r="AB28" s="336">
        <f t="shared" si="42"/>
        <v>1151.6999999999998</v>
      </c>
      <c r="AC28" s="336">
        <f t="shared" si="42"/>
        <v>3534.0999999999995</v>
      </c>
      <c r="AD28" s="1760"/>
      <c r="AE28" s="336">
        <f t="shared" si="40"/>
        <v>4772.5000000000018</v>
      </c>
      <c r="AF28" s="1760"/>
      <c r="AG28" s="336">
        <f t="shared" ref="AG28" si="43">+AG26-AG27</f>
        <v>616.77</v>
      </c>
      <c r="AH28" s="1760"/>
      <c r="AI28" s="336">
        <f t="shared" ref="AI28:AJ28" si="44">+AI26-AI27</f>
        <v>4176.82</v>
      </c>
      <c r="AJ28" s="336">
        <f t="shared" si="44"/>
        <v>4429.82</v>
      </c>
      <c r="AK28" s="469"/>
      <c r="AP28" s="30"/>
      <c r="AQ28"/>
      <c r="AR28"/>
      <c r="AS28" s="53"/>
      <c r="AT28"/>
      <c r="AU28"/>
      <c r="AV28"/>
      <c r="AW28"/>
      <c r="AX28" s="152"/>
      <c r="AY28" s="152"/>
      <c r="AZ28"/>
      <c r="BA28"/>
    </row>
    <row r="29" spans="2:53">
      <c r="C29" s="79" t="s">
        <v>2332</v>
      </c>
      <c r="D29" s="338">
        <v>-24.18</v>
      </c>
      <c r="E29" s="338">
        <v>66.739999999999995</v>
      </c>
      <c r="F29" s="338">
        <v>12.03</v>
      </c>
      <c r="G29" s="338">
        <v>72.8</v>
      </c>
      <c r="H29" s="338">
        <v>6.59</v>
      </c>
      <c r="I29" s="401">
        <v>129.33000000000001</v>
      </c>
      <c r="J29" s="401"/>
      <c r="K29" s="401">
        <f>+K28/K32</f>
        <v>5.2966101694915242</v>
      </c>
      <c r="L29" s="401">
        <f>+L28/L32</f>
        <v>-37.381355932203391</v>
      </c>
      <c r="M29" s="401">
        <v>-3.65</v>
      </c>
      <c r="N29" s="401">
        <v>46.62</v>
      </c>
      <c r="O29" s="401"/>
      <c r="P29" s="401">
        <v>53.17</v>
      </c>
      <c r="Q29" s="401">
        <v>31.1</v>
      </c>
      <c r="R29" s="401">
        <v>42.26</v>
      </c>
      <c r="S29" s="401">
        <v>186.87</v>
      </c>
      <c r="T29" s="401"/>
      <c r="U29" s="401">
        <v>33.26</v>
      </c>
      <c r="V29" s="401">
        <v>40.18</v>
      </c>
      <c r="W29" s="401">
        <v>46.04</v>
      </c>
      <c r="X29" s="401">
        <v>173.41</v>
      </c>
      <c r="Y29" s="333"/>
      <c r="Z29" s="401">
        <v>46.1</v>
      </c>
      <c r="AA29" s="401">
        <v>66.34</v>
      </c>
      <c r="AB29" s="401">
        <v>55.9</v>
      </c>
      <c r="AC29" s="654">
        <v>168.31</v>
      </c>
      <c r="AD29" s="333"/>
      <c r="AE29" s="401">
        <v>230.07</v>
      </c>
      <c r="AF29" s="333"/>
      <c r="AG29" s="401">
        <v>0</v>
      </c>
      <c r="AH29" s="333"/>
      <c r="AI29" s="1625">
        <f>+AI28/AI32</f>
        <v>203.25158150851578</v>
      </c>
      <c r="AJ29" s="748">
        <f>+AJ28/AJ32</f>
        <v>222.60402010050251</v>
      </c>
      <c r="AK29" s="636"/>
      <c r="AO29" s="30" t="s">
        <v>2093</v>
      </c>
      <c r="AP29" s="30"/>
      <c r="AS29" s="53"/>
      <c r="AT29" s="362"/>
      <c r="AX29" s="13"/>
      <c r="AY29" s="13"/>
    </row>
    <row r="30" spans="2:53">
      <c r="C30" s="145" t="s">
        <v>2331</v>
      </c>
      <c r="D30" s="2009"/>
      <c r="E30" s="2009"/>
      <c r="F30" s="2009"/>
      <c r="G30" s="2009"/>
      <c r="H30" s="2009">
        <v>6.29</v>
      </c>
      <c r="I30" s="1748">
        <v>122.25</v>
      </c>
      <c r="J30" s="1748"/>
      <c r="K30" s="1748"/>
      <c r="L30" s="1748"/>
      <c r="M30" s="1748"/>
      <c r="N30" s="1748">
        <v>43.49</v>
      </c>
      <c r="O30" s="1748"/>
      <c r="P30" s="1748"/>
      <c r="Q30" s="1748"/>
      <c r="R30" s="1748"/>
      <c r="S30" s="1748">
        <v>173.24</v>
      </c>
      <c r="T30" s="1748"/>
      <c r="U30" s="1748">
        <v>30.82</v>
      </c>
      <c r="V30" s="1748">
        <v>37.18</v>
      </c>
      <c r="W30" s="1748">
        <v>42.62</v>
      </c>
      <c r="X30" s="1748">
        <v>160.56</v>
      </c>
      <c r="Y30" s="1760"/>
      <c r="Z30" s="1748">
        <v>42.7</v>
      </c>
      <c r="AA30" s="1748">
        <v>61.61</v>
      </c>
      <c r="AB30" s="1748">
        <v>52.04</v>
      </c>
      <c r="AC30" s="2010">
        <v>156.31</v>
      </c>
      <c r="AD30" s="1760"/>
      <c r="AE30" s="1748">
        <v>213.78</v>
      </c>
      <c r="AF30" s="1760"/>
      <c r="AG30" s="1748">
        <f>+AG28/AG36</f>
        <v>27.657847533632285</v>
      </c>
      <c r="AH30" s="1760"/>
      <c r="AI30" s="1749">
        <f>+AI28/AI35</f>
        <v>186.88232662192391</v>
      </c>
      <c r="AJ30" s="2011">
        <f>+AJ28/AJ35</f>
        <v>204.13917050691245</v>
      </c>
      <c r="AK30" s="636"/>
      <c r="AM30" s="53"/>
      <c r="AO30" s="1767">
        <f>(+S30+X30+AE30)/3</f>
        <v>182.52666666666667</v>
      </c>
      <c r="AP30" s="30"/>
      <c r="AS30" s="53"/>
      <c r="AT30" s="362"/>
      <c r="AX30" s="13"/>
      <c r="AY30" s="13"/>
    </row>
    <row r="31" spans="2:53" ht="7" customHeight="1">
      <c r="C31" s="79"/>
      <c r="D31" s="338"/>
      <c r="E31" s="338"/>
      <c r="F31" s="338"/>
      <c r="G31" s="338"/>
      <c r="H31" s="338"/>
      <c r="I31" s="338"/>
      <c r="J31" s="338"/>
      <c r="K31" s="338"/>
      <c r="L31" s="338"/>
      <c r="M31" s="338"/>
      <c r="N31" s="338"/>
      <c r="O31" s="338"/>
      <c r="P31" s="338"/>
      <c r="Q31" s="338"/>
      <c r="R31" s="338"/>
      <c r="S31" s="338"/>
      <c r="T31" s="338"/>
      <c r="U31" s="338"/>
      <c r="V31" s="338"/>
      <c r="W31" s="338"/>
      <c r="X31" s="338"/>
      <c r="Y31" s="665"/>
      <c r="Z31" s="338"/>
      <c r="AA31" s="338"/>
      <c r="AB31" s="338"/>
      <c r="AC31" s="338"/>
      <c r="AD31" s="665"/>
      <c r="AE31" s="338"/>
      <c r="AF31" s="665"/>
      <c r="AG31" s="338"/>
      <c r="AH31" s="665"/>
      <c r="AI31" s="338"/>
      <c r="AJ31" s="338"/>
      <c r="AK31" s="636"/>
      <c r="AP31" s="30"/>
    </row>
    <row r="32" spans="2:53" ht="14" hidden="1" customHeight="1">
      <c r="B32" s="30" t="s">
        <v>1013</v>
      </c>
      <c r="C32" s="50" t="s">
        <v>1661</v>
      </c>
      <c r="D32" s="45">
        <v>23</v>
      </c>
      <c r="E32" s="45">
        <v>25.4</v>
      </c>
      <c r="F32" s="45">
        <v>27.5</v>
      </c>
      <c r="G32" s="45">
        <v>26.9</v>
      </c>
      <c r="H32" s="45">
        <v>26.4</v>
      </c>
      <c r="I32" s="45">
        <v>25.95</v>
      </c>
      <c r="J32" s="45"/>
      <c r="K32" s="656">
        <v>23.6</v>
      </c>
      <c r="L32" s="656">
        <v>23.6</v>
      </c>
      <c r="M32" s="656">
        <v>23.6</v>
      </c>
      <c r="N32" s="45">
        <v>23.6</v>
      </c>
      <c r="O32" s="90"/>
      <c r="P32" s="656">
        <v>23.3</v>
      </c>
      <c r="Q32" s="656">
        <v>23.3</v>
      </c>
      <c r="R32" s="656">
        <v>23.2</v>
      </c>
      <c r="S32" s="1227">
        <v>23.18</v>
      </c>
      <c r="T32" s="656"/>
      <c r="U32" s="1227">
        <v>23</v>
      </c>
      <c r="V32" s="1227">
        <v>22.478999999999999</v>
      </c>
      <c r="W32" s="1425">
        <v>22.5</v>
      </c>
      <c r="X32" s="1227">
        <v>22.373000000000001</v>
      </c>
      <c r="Y32" s="645"/>
      <c r="Z32" s="1227">
        <v>21.651</v>
      </c>
      <c r="AA32" s="1227">
        <v>21.57</v>
      </c>
      <c r="AB32" s="1227">
        <v>21.5</v>
      </c>
      <c r="AC32" s="656">
        <v>21.5</v>
      </c>
      <c r="AD32" s="645"/>
      <c r="AE32" s="656">
        <v>21.3</v>
      </c>
      <c r="AF32" s="155"/>
      <c r="AG32" s="1227">
        <v>21.651</v>
      </c>
      <c r="AH32" s="155"/>
      <c r="AI32" s="1756">
        <v>20.55</v>
      </c>
      <c r="AJ32" s="1980">
        <v>19.899999999999999</v>
      </c>
      <c r="AK32" s="104"/>
      <c r="AP32">
        <v>471</v>
      </c>
      <c r="AQ32">
        <v>486.7</v>
      </c>
      <c r="AR32">
        <v>530.34</v>
      </c>
      <c r="AS32">
        <v>440.08</v>
      </c>
      <c r="AT32">
        <v>469.11</v>
      </c>
      <c r="AU32">
        <v>340.94</v>
      </c>
      <c r="AW32">
        <v>492.13</v>
      </c>
      <c r="AX32">
        <v>594.12</v>
      </c>
      <c r="AY32">
        <v>920.76</v>
      </c>
    </row>
    <row r="33" spans="2:51">
      <c r="B33" s="30" t="s">
        <v>1013</v>
      </c>
      <c r="C33" s="50" t="s">
        <v>1576</v>
      </c>
      <c r="D33" s="45">
        <v>23.1</v>
      </c>
      <c r="E33" s="45">
        <v>27.75</v>
      </c>
      <c r="F33" s="45">
        <v>27.2</v>
      </c>
      <c r="G33" s="45">
        <v>26.8</v>
      </c>
      <c r="H33" s="45">
        <v>26.2</v>
      </c>
      <c r="I33" s="45">
        <v>23.9</v>
      </c>
      <c r="J33" s="45"/>
      <c r="K33" s="656"/>
      <c r="L33" s="656"/>
      <c r="M33" s="656"/>
      <c r="N33" s="45">
        <v>23.3</v>
      </c>
      <c r="O33" s="90"/>
      <c r="P33" s="656">
        <v>23.2</v>
      </c>
      <c r="Q33" s="656">
        <v>23.2</v>
      </c>
      <c r="R33" s="656">
        <v>23.1</v>
      </c>
      <c r="S33" s="1227">
        <v>23</v>
      </c>
      <c r="T33" s="1227"/>
      <c r="U33" s="656">
        <v>22.8</v>
      </c>
      <c r="V33" s="1227">
        <v>22.18</v>
      </c>
      <c r="W33" s="1227">
        <v>22.2</v>
      </c>
      <c r="X33" s="1227">
        <v>21.667999999999999</v>
      </c>
      <c r="Y33" s="645"/>
      <c r="Z33" s="1227">
        <v>21.58</v>
      </c>
      <c r="AA33" s="656">
        <v>21.6</v>
      </c>
      <c r="AB33" s="1227">
        <v>21.3</v>
      </c>
      <c r="AC33" s="1227">
        <v>21.3</v>
      </c>
      <c r="AD33" s="645"/>
      <c r="AE33" s="2043">
        <v>20.856000000000002</v>
      </c>
      <c r="AF33" s="645"/>
      <c r="AG33" s="2043">
        <v>20.65</v>
      </c>
      <c r="AH33" s="645"/>
      <c r="AI33" s="1756">
        <v>20.2</v>
      </c>
      <c r="AJ33" s="1980">
        <v>19.600000000000001</v>
      </c>
      <c r="AK33" s="104"/>
      <c r="AL33" t="s">
        <v>2325</v>
      </c>
      <c r="AO33" s="1930">
        <f>+AI33-AE33</f>
        <v>-0.65600000000000236</v>
      </c>
      <c r="AQ33">
        <f>+AQ32*AQ50</f>
        <v>150390.29999999999</v>
      </c>
      <c r="AR33">
        <f>+AR32*AR50</f>
        <v>424802.34</v>
      </c>
      <c r="AS33">
        <f>+AS32*AS50</f>
        <v>486420.42399999994</v>
      </c>
      <c r="AT33">
        <f>+AT32*AT50</f>
        <v>644088.03</v>
      </c>
      <c r="AU33">
        <f>+AU32*AU50</f>
        <v>0</v>
      </c>
      <c r="AW33">
        <f>+AW32*AW50</f>
        <v>0</v>
      </c>
      <c r="AX33">
        <f>+AX32*AX50</f>
        <v>0</v>
      </c>
      <c r="AY33">
        <f>+AY32*AY50</f>
        <v>0</v>
      </c>
    </row>
    <row r="34" spans="2:51" ht="7" customHeight="1">
      <c r="C34" s="79"/>
      <c r="D34" s="90"/>
      <c r="E34" s="90"/>
      <c r="F34" s="90"/>
      <c r="G34" s="90"/>
      <c r="H34" s="90"/>
      <c r="I34" s="90"/>
      <c r="J34" s="90"/>
      <c r="K34" s="656"/>
      <c r="L34" s="656"/>
      <c r="M34" s="656"/>
      <c r="N34" s="90"/>
      <c r="O34" s="90"/>
      <c r="P34" s="656"/>
      <c r="Q34" s="656"/>
      <c r="R34" s="656"/>
      <c r="S34" s="1227"/>
      <c r="T34" s="1227"/>
      <c r="U34" s="656"/>
      <c r="V34" s="656"/>
      <c r="W34" s="1227"/>
      <c r="X34" s="656"/>
      <c r="Y34" s="155"/>
      <c r="Z34" s="656"/>
      <c r="AA34" s="656"/>
      <c r="AB34" s="656"/>
      <c r="AC34" s="1227"/>
      <c r="AD34" s="155"/>
      <c r="AE34" s="656"/>
      <c r="AF34" s="155"/>
      <c r="AG34" s="656"/>
      <c r="AH34" s="155"/>
      <c r="AI34" s="656"/>
      <c r="AJ34" s="1980"/>
      <c r="AK34" s="104"/>
    </row>
    <row r="35" spans="2:51">
      <c r="C35" s="79" t="s">
        <v>1663</v>
      </c>
      <c r="D35" s="338"/>
      <c r="E35" s="338"/>
      <c r="F35" s="338"/>
      <c r="G35" s="1424">
        <v>28.3</v>
      </c>
      <c r="H35" s="1424">
        <f>(+G36+H36)/2</f>
        <v>28.035</v>
      </c>
      <c r="I35" s="1424">
        <f t="shared" ref="I35" si="45">(+H36+I36)/2</f>
        <v>26.8</v>
      </c>
      <c r="J35" s="1424"/>
      <c r="K35" s="1424"/>
      <c r="L35" s="1424"/>
      <c r="M35" s="1424"/>
      <c r="N35" s="1424">
        <f>(+I36+N36)/2</f>
        <v>25.54</v>
      </c>
      <c r="O35" s="1424"/>
      <c r="P35" s="1424"/>
      <c r="Q35" s="1424"/>
      <c r="R35" s="1424"/>
      <c r="S35" s="1424">
        <f>+S28/S30</f>
        <v>25.292426691295322</v>
      </c>
      <c r="T35" s="1424"/>
      <c r="U35" s="1424">
        <f>+U28/U30</f>
        <v>25.181700194678779</v>
      </c>
      <c r="V35" s="1424">
        <f>+V28/V30</f>
        <v>24.620763851533077</v>
      </c>
      <c r="W35" s="1424">
        <f>+W28/W30</f>
        <v>24.192867198498355</v>
      </c>
      <c r="X35" s="1424">
        <v>24.3</v>
      </c>
      <c r="Y35" s="1678"/>
      <c r="Z35" s="1424">
        <v>23.7</v>
      </c>
      <c r="AA35" s="1424">
        <v>23.7</v>
      </c>
      <c r="AB35" s="1424">
        <v>23.3</v>
      </c>
      <c r="AC35" s="1424">
        <v>23.3</v>
      </c>
      <c r="AD35" s="1678"/>
      <c r="AE35" s="1424">
        <v>23.4</v>
      </c>
      <c r="AF35" s="1678"/>
      <c r="AG35" s="1424">
        <v>22.5</v>
      </c>
      <c r="AH35" s="1678"/>
      <c r="AI35" s="1757">
        <v>22.35</v>
      </c>
      <c r="AJ35" s="1981">
        <v>21.7</v>
      </c>
      <c r="AK35" s="104"/>
      <c r="AL35" s="636"/>
    </row>
    <row r="36" spans="2:51">
      <c r="C36" s="79" t="s">
        <v>1662</v>
      </c>
      <c r="D36" s="338"/>
      <c r="E36" s="338"/>
      <c r="F36" s="338"/>
      <c r="G36" s="1424">
        <v>28.2</v>
      </c>
      <c r="H36" s="1424">
        <v>27.87</v>
      </c>
      <c r="I36" s="1424">
        <v>25.73</v>
      </c>
      <c r="J36" s="1424"/>
      <c r="K36" s="1424">
        <v>25</v>
      </c>
      <c r="L36" s="1424">
        <v>25</v>
      </c>
      <c r="M36" s="1424">
        <v>25</v>
      </c>
      <c r="N36" s="1424">
        <v>25.35</v>
      </c>
      <c r="O36" s="1424">
        <v>25</v>
      </c>
      <c r="P36" s="1424">
        <v>25</v>
      </c>
      <c r="Q36" s="1424">
        <v>25</v>
      </c>
      <c r="R36" s="1424">
        <v>25</v>
      </c>
      <c r="S36" s="1424">
        <v>24.98</v>
      </c>
      <c r="T36" s="1424"/>
      <c r="U36" s="1424"/>
      <c r="V36" s="1424"/>
      <c r="W36" s="1424"/>
      <c r="X36" s="1424">
        <v>23.6</v>
      </c>
      <c r="Y36" s="1678"/>
      <c r="Z36" s="1424"/>
      <c r="AA36" s="1424"/>
      <c r="AB36" s="1424">
        <v>23.1</v>
      </c>
      <c r="AC36" s="1424">
        <v>23.1</v>
      </c>
      <c r="AD36" s="1678"/>
      <c r="AE36" s="1424">
        <v>22.6</v>
      </c>
      <c r="AF36" s="1678"/>
      <c r="AG36" s="1424">
        <v>22.3</v>
      </c>
      <c r="AH36" s="1678"/>
      <c r="AI36" s="1757">
        <v>22</v>
      </c>
      <c r="AJ36" s="1981">
        <v>21.4</v>
      </c>
      <c r="AK36" s="104"/>
      <c r="AO36" s="13">
        <f>+AO33/AE33</f>
        <v>-3.145377828922144E-2</v>
      </c>
    </row>
    <row r="37" spans="2:51" ht="7" customHeight="1">
      <c r="K37" s="154"/>
      <c r="L37" s="154"/>
      <c r="M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row>
    <row r="38" spans="2:51">
      <c r="C38" s="334" t="s">
        <v>136</v>
      </c>
      <c r="D38" s="268" t="s">
        <v>40</v>
      </c>
      <c r="E38" s="752">
        <f>+-E25/E24</f>
        <v>0.20180901542111507</v>
      </c>
      <c r="F38" s="752">
        <f>+-F25/F24</f>
        <v>5.126420784040827E-2</v>
      </c>
      <c r="G38" s="752">
        <f>+-G25/G24</f>
        <v>0.11713325867861142</v>
      </c>
      <c r="H38" s="752">
        <f>+-H25/H24</f>
        <v>0.84801310938140051</v>
      </c>
      <c r="I38" s="490">
        <v>0.16500000000000001</v>
      </c>
      <c r="J38" s="490"/>
      <c r="K38" s="755">
        <f>+-K25/K24</f>
        <v>0.28272251308900526</v>
      </c>
      <c r="L38" s="2015" t="s">
        <v>40</v>
      </c>
      <c r="M38" s="2015" t="s">
        <v>40</v>
      </c>
      <c r="N38" s="490">
        <v>0.248</v>
      </c>
      <c r="O38" s="125"/>
      <c r="P38" s="753">
        <f>+-P25/P24</f>
        <v>0.20638778971170155</v>
      </c>
      <c r="Q38" s="753">
        <f>+-Q25/Q24</f>
        <v>0.12235169491525427</v>
      </c>
      <c r="R38" s="753">
        <f>+-R25/R24</f>
        <v>0.20414598148396618</v>
      </c>
      <c r="S38" s="753">
        <f>+-S25/S24</f>
        <v>0.13767073439060301</v>
      </c>
      <c r="T38" s="753"/>
      <c r="U38" s="753">
        <f>+-U25/U24</f>
        <v>0.27128919200530449</v>
      </c>
      <c r="V38" s="753">
        <f>+-V25/V24</f>
        <v>0.25184240362811794</v>
      </c>
      <c r="W38" s="753"/>
      <c r="X38" s="753">
        <f>-X25/X24</f>
        <v>0.24400886917960082</v>
      </c>
      <c r="Y38" s="1761"/>
      <c r="Z38" s="753">
        <f>+-Z25/Z24</f>
        <v>0.18246547139058072</v>
      </c>
      <c r="AA38" s="753">
        <f>+-AA25/AA24</f>
        <v>0.18019447287615151</v>
      </c>
      <c r="AB38" s="753">
        <f>+-AB25/AB24</f>
        <v>0.20382206314713025</v>
      </c>
      <c r="AC38" s="753">
        <f>+-AC25/AC24</f>
        <v>0.18865145272506031</v>
      </c>
      <c r="AD38" s="1761"/>
      <c r="AE38" s="1978">
        <f>+AE25/-AE24</f>
        <v>0.17956959195081046</v>
      </c>
      <c r="AF38" s="2042"/>
      <c r="AG38" s="753">
        <f>+-AG25/AG24</f>
        <v>0.23</v>
      </c>
      <c r="AH38" s="2042"/>
      <c r="AI38" s="1758">
        <v>0.22</v>
      </c>
      <c r="AJ38" s="1982">
        <v>0.22</v>
      </c>
      <c r="AK38" s="701"/>
      <c r="AL38" t="s">
        <v>2330</v>
      </c>
      <c r="AO38" s="756">
        <f>(+I38+N38+S38)/3</f>
        <v>0.18355691146353434</v>
      </c>
      <c r="AP38" t="s">
        <v>2078</v>
      </c>
      <c r="AQ38">
        <v>39</v>
      </c>
      <c r="AR38">
        <v>186</v>
      </c>
      <c r="AS38">
        <f>+AR38-AQ38</f>
        <v>147</v>
      </c>
      <c r="AT38" s="492">
        <f>+AS38/AQ38</f>
        <v>3.7692307692307692</v>
      </c>
    </row>
    <row r="39" spans="2:51">
      <c r="C39" s="334" t="s">
        <v>1067</v>
      </c>
      <c r="D39" s="754">
        <v>10</v>
      </c>
      <c r="E39" s="754">
        <v>10</v>
      </c>
      <c r="F39" s="754">
        <v>10</v>
      </c>
      <c r="G39" s="754">
        <v>10</v>
      </c>
      <c r="H39" s="754">
        <v>10</v>
      </c>
      <c r="I39" s="754">
        <v>10</v>
      </c>
      <c r="J39" s="754"/>
      <c r="K39" s="755"/>
      <c r="L39" s="755"/>
      <c r="M39" s="755"/>
      <c r="N39" s="754">
        <v>10</v>
      </c>
      <c r="O39" s="490"/>
      <c r="P39" s="755"/>
      <c r="Q39" s="755"/>
      <c r="R39" s="755"/>
      <c r="S39" s="1228">
        <v>10</v>
      </c>
      <c r="T39" s="1228"/>
      <c r="U39" s="755"/>
      <c r="V39" s="755"/>
      <c r="W39" s="1228"/>
      <c r="X39" s="1228">
        <v>15</v>
      </c>
      <c r="Y39" s="1762"/>
      <c r="Z39" s="755"/>
      <c r="AA39" s="755"/>
      <c r="AB39" s="755"/>
      <c r="AC39" s="1228"/>
      <c r="AD39" s="1762"/>
      <c r="AE39" s="1228">
        <v>15</v>
      </c>
      <c r="AF39" s="1762"/>
      <c r="AG39" s="755"/>
      <c r="AH39" s="1762"/>
      <c r="AI39" s="1759">
        <v>15</v>
      </c>
      <c r="AJ39" s="1983">
        <v>15</v>
      </c>
      <c r="AK39" s="757"/>
      <c r="AL39" t="s">
        <v>1063</v>
      </c>
      <c r="AP39" s="282" t="s">
        <v>2079</v>
      </c>
      <c r="AQ39">
        <v>500</v>
      </c>
      <c r="AR39">
        <v>832</v>
      </c>
      <c r="AS39">
        <f>+AR39-AQ39</f>
        <v>332</v>
      </c>
      <c r="AT39">
        <f>+AS39/AQ39</f>
        <v>0.66400000000000003</v>
      </c>
    </row>
    <row r="40" spans="2:51">
      <c r="C40" s="46" t="s">
        <v>2320</v>
      </c>
      <c r="D40" s="318">
        <v>367</v>
      </c>
      <c r="E40" s="318">
        <v>450</v>
      </c>
      <c r="F40" s="318">
        <v>432</v>
      </c>
      <c r="G40" s="318">
        <v>486</v>
      </c>
      <c r="H40" s="318">
        <v>478</v>
      </c>
      <c r="I40" s="318">
        <v>631</v>
      </c>
      <c r="J40" s="318"/>
      <c r="K40" s="318"/>
      <c r="L40" s="318"/>
      <c r="M40" s="318"/>
      <c r="N40" s="318">
        <v>658</v>
      </c>
      <c r="O40" s="318"/>
      <c r="P40" s="318">
        <v>803.49</v>
      </c>
      <c r="Q40" s="318">
        <v>834.28</v>
      </c>
      <c r="R40" s="318">
        <v>876.55</v>
      </c>
      <c r="S40" s="1229">
        <v>939.95</v>
      </c>
      <c r="T40" s="1229"/>
      <c r="U40" s="318">
        <v>945.44</v>
      </c>
      <c r="V40" s="318">
        <v>979.63</v>
      </c>
      <c r="W40" s="1229">
        <v>1033.18</v>
      </c>
      <c r="X40" s="318">
        <v>1059.5999999999999</v>
      </c>
      <c r="Y40" s="333"/>
      <c r="Z40" s="318">
        <v>1080.3800000000001</v>
      </c>
      <c r="AA40" s="318">
        <v>1158.47</v>
      </c>
      <c r="AB40" s="318">
        <v>1215</v>
      </c>
      <c r="AC40" s="1229">
        <v>1203.6500000000001</v>
      </c>
      <c r="AD40" s="333"/>
      <c r="AE40" s="318">
        <v>1260.19</v>
      </c>
      <c r="AF40" s="333"/>
      <c r="AG40" s="318">
        <v>1250.1400000000001</v>
      </c>
      <c r="AH40" s="333"/>
      <c r="AI40" s="765">
        <f>+AE40+AI30-AI39</f>
        <v>1432.072326621924</v>
      </c>
      <c r="AJ40" s="719">
        <f>+AI40+AJ30-AJ39</f>
        <v>1621.2114971288365</v>
      </c>
      <c r="AK40" s="53"/>
      <c r="AP40" t="s">
        <v>2080</v>
      </c>
      <c r="AQ40">
        <v>1000</v>
      </c>
      <c r="AR40">
        <v>4291</v>
      </c>
      <c r="AS40">
        <f>+AR40-AQ40</f>
        <v>3291</v>
      </c>
      <c r="AT40" s="492">
        <f>+AS40/AQ40</f>
        <v>3.2909999999999999</v>
      </c>
    </row>
    <row r="41" spans="2:51">
      <c r="C41" s="46" t="s">
        <v>2321</v>
      </c>
      <c r="D41" s="647">
        <v>8.4849999999999994</v>
      </c>
      <c r="E41" s="647">
        <v>12.476000000000001</v>
      </c>
      <c r="F41" s="647">
        <v>11.779</v>
      </c>
      <c r="G41" s="647">
        <v>13.042999999999999</v>
      </c>
      <c r="H41" s="647">
        <v>12.521000000000001</v>
      </c>
      <c r="I41" s="647">
        <v>15.2</v>
      </c>
      <c r="J41" s="647"/>
      <c r="K41" s="647"/>
      <c r="L41" s="647"/>
      <c r="M41" s="647"/>
      <c r="N41" s="647">
        <v>17.78</v>
      </c>
      <c r="O41" s="647"/>
      <c r="P41" s="647"/>
      <c r="Q41" s="647"/>
      <c r="R41" s="647"/>
      <c r="S41" s="647">
        <v>21.614999999999998</v>
      </c>
      <c r="T41" s="1105"/>
      <c r="U41" s="647"/>
      <c r="V41" s="647"/>
      <c r="W41" s="1105"/>
      <c r="X41" s="647">
        <v>22.96</v>
      </c>
      <c r="Y41" s="668"/>
      <c r="Z41" s="647"/>
      <c r="AA41" s="647"/>
      <c r="AB41" s="647"/>
      <c r="AC41" s="1105"/>
      <c r="AD41" s="668"/>
      <c r="AE41" s="647">
        <v>26.283000000000001</v>
      </c>
      <c r="AF41" s="668"/>
      <c r="AG41" s="647"/>
      <c r="AH41" s="668"/>
      <c r="AI41" s="1146">
        <f>+AI33*AI40/1000</f>
        <v>28.927860997762867</v>
      </c>
      <c r="AJ41" s="848">
        <f>+AJ33*AJ40/1000</f>
        <v>31.775745343725198</v>
      </c>
      <c r="AK41" s="53"/>
      <c r="AL41" s="282" t="s">
        <v>2329</v>
      </c>
      <c r="AT41" s="492"/>
    </row>
    <row r="42" spans="2:51">
      <c r="C42" s="46" t="s">
        <v>1244</v>
      </c>
      <c r="D42" s="490">
        <f>+D29/D40</f>
        <v>-6.5885558583106268E-2</v>
      </c>
      <c r="E42" s="490">
        <f>+E28/((D41+E41)/2)/1000</f>
        <v>0.16607986260197513</v>
      </c>
      <c r="F42" s="490">
        <f>+F28/((E41+F41)/2)/1000</f>
        <v>3.1012162440733848E-2</v>
      </c>
      <c r="G42" s="490">
        <f>+G28/((F41+G41)/2)/1000</f>
        <v>0.16146160663927162</v>
      </c>
      <c r="H42" s="490">
        <f>+H28/((G41+H41)/2)/1000</f>
        <v>1.706305742450322E-2</v>
      </c>
      <c r="I42" s="490">
        <f>+I28/((H41+I41)/2)/1000</f>
        <v>0.24533746978824716</v>
      </c>
      <c r="J42" s="490"/>
      <c r="K42" s="490"/>
      <c r="L42" s="490"/>
      <c r="M42" s="490"/>
      <c r="N42" s="490">
        <f>+N28/((I41+N41)/2)/1000</f>
        <v>6.9557307459066089E-2</v>
      </c>
      <c r="O42" s="490"/>
      <c r="P42" s="490"/>
      <c r="Q42" s="490"/>
      <c r="R42" s="490"/>
      <c r="S42" s="490">
        <f>+S28/((N41+S41)/2)/1000</f>
        <v>0.22244751872064991</v>
      </c>
      <c r="T42" s="846"/>
      <c r="U42" s="846"/>
      <c r="V42" s="846"/>
      <c r="W42" s="846"/>
      <c r="X42" s="490">
        <f>+X28/((S41+X41)/2)/1000</f>
        <v>0.17381491867638818</v>
      </c>
      <c r="Y42" s="646"/>
      <c r="Z42" s="846"/>
      <c r="AA42" s="846"/>
      <c r="AB42" s="846"/>
      <c r="AC42" s="846"/>
      <c r="AD42" s="646"/>
      <c r="AE42" s="490">
        <f>+AE28/((X41+AE41)/2)/1000</f>
        <v>0.19383465670247554</v>
      </c>
      <c r="AF42" s="646"/>
      <c r="AG42" s="846"/>
      <c r="AH42" s="646"/>
      <c r="AI42" s="1219">
        <f>+AI28/((AE41+AI41)/2)/1000</f>
        <v>0.15130428776212146</v>
      </c>
      <c r="AJ42" s="850">
        <f>+AJ28/((AI41+AJ41)/2)/1000</f>
        <v>0.14594915415997042</v>
      </c>
      <c r="AK42" s="278"/>
      <c r="AL42" s="756"/>
      <c r="AO42" s="470"/>
      <c r="AP42" s="282" t="s">
        <v>2081</v>
      </c>
    </row>
    <row r="43" spans="2:51">
      <c r="C43" t="s">
        <v>2098</v>
      </c>
      <c r="I43" s="79" t="s">
        <v>1010</v>
      </c>
      <c r="J43" s="25"/>
      <c r="N43" s="477">
        <v>762.28</v>
      </c>
      <c r="P43" s="53"/>
      <c r="AO43" s="470"/>
      <c r="AP43" s="11" t="s">
        <v>2082</v>
      </c>
      <c r="AU43">
        <f>3.7+3.7+3.9</f>
        <v>11.3</v>
      </c>
    </row>
    <row r="44" spans="2:51" ht="7" customHeight="1">
      <c r="V44" s="636"/>
      <c r="AA44" s="636"/>
      <c r="AB44" s="636"/>
      <c r="AC44" s="636"/>
      <c r="AO44" s="470"/>
    </row>
    <row r="45" spans="2:51">
      <c r="C45" s="46" t="s">
        <v>2211</v>
      </c>
      <c r="D45" s="46"/>
      <c r="E45" s="46"/>
      <c r="F45" s="46"/>
      <c r="G45" s="46"/>
      <c r="H45" s="46"/>
      <c r="I45" s="318">
        <f>+I56</f>
        <v>30.089552238805972</v>
      </c>
      <c r="J45" s="318"/>
      <c r="K45" s="318">
        <f>+K56</f>
        <v>0</v>
      </c>
      <c r="L45" s="318">
        <f>+L56</f>
        <v>0</v>
      </c>
      <c r="M45" s="318">
        <f>+M56</f>
        <v>0</v>
      </c>
      <c r="N45" s="318">
        <f t="shared" ref="N45:AE45" si="46">+N56</f>
        <v>-3.3202819107282693</v>
      </c>
      <c r="O45" s="318">
        <f t="shared" si="46"/>
        <v>0</v>
      </c>
      <c r="P45" s="318">
        <f t="shared" si="46"/>
        <v>0</v>
      </c>
      <c r="Q45" s="318">
        <f t="shared" si="46"/>
        <v>0</v>
      </c>
      <c r="R45" s="318">
        <f t="shared" si="46"/>
        <v>0</v>
      </c>
      <c r="S45" s="318">
        <f t="shared" si="46"/>
        <v>24.228596468005268</v>
      </c>
      <c r="T45" s="318">
        <f t="shared" si="46"/>
        <v>0</v>
      </c>
      <c r="U45" s="318">
        <f t="shared" si="46"/>
        <v>0</v>
      </c>
      <c r="V45" s="318">
        <f t="shared" si="46"/>
        <v>0</v>
      </c>
      <c r="W45" s="318">
        <f t="shared" si="46"/>
        <v>68.337777777777774</v>
      </c>
      <c r="X45" s="318">
        <f t="shared" si="46"/>
        <v>15.604938271604937</v>
      </c>
      <c r="Y45" s="318"/>
      <c r="Z45" s="318">
        <f t="shared" ref="Z45" si="47">+Z56</f>
        <v>0</v>
      </c>
      <c r="AA45" s="318">
        <f t="shared" ref="AA45" si="48">+AA56</f>
        <v>0</v>
      </c>
      <c r="AB45" s="318"/>
      <c r="AC45" s="318">
        <f>+AC56</f>
        <v>34.715879828326194</v>
      </c>
      <c r="AD45" s="318"/>
      <c r="AE45" s="318">
        <f t="shared" si="46"/>
        <v>57.345132743362832</v>
      </c>
      <c r="AF45" s="333"/>
      <c r="AG45" s="318">
        <f t="shared" ref="AG45" si="49">+AG56</f>
        <v>0</v>
      </c>
      <c r="AH45" s="333"/>
      <c r="AI45" s="765">
        <f t="shared" ref="AI45:AJ45" si="50">+AI56</f>
        <v>25.055928411633108</v>
      </c>
      <c r="AJ45" s="719">
        <f t="shared" si="50"/>
        <v>18.433179723502306</v>
      </c>
      <c r="AL45" s="282" t="s">
        <v>2324</v>
      </c>
    </row>
    <row r="46" spans="2:51">
      <c r="C46" s="47" t="s">
        <v>2109</v>
      </c>
      <c r="D46" s="46"/>
      <c r="E46" s="46"/>
      <c r="F46" s="46"/>
      <c r="G46" s="46"/>
      <c r="H46" s="46"/>
      <c r="I46" s="336">
        <f>+I30+I45</f>
        <v>152.33955223880596</v>
      </c>
      <c r="J46" s="47"/>
      <c r="K46" s="47"/>
      <c r="L46" s="47"/>
      <c r="M46" s="47"/>
      <c r="N46" s="336">
        <f>+N30+N45</f>
        <v>40.169718089271733</v>
      </c>
      <c r="O46" s="47"/>
      <c r="P46" s="47"/>
      <c r="Q46" s="47"/>
      <c r="R46" s="47"/>
      <c r="S46" s="336">
        <f>+S30+S45</f>
        <v>197.46859646800527</v>
      </c>
      <c r="T46" s="47"/>
      <c r="U46" s="47"/>
      <c r="V46" s="2012"/>
      <c r="W46" s="47"/>
      <c r="X46" s="336">
        <f>+X30+X45</f>
        <v>176.16493827160494</v>
      </c>
      <c r="Y46" s="47"/>
      <c r="Z46" s="47"/>
      <c r="AA46" s="47"/>
      <c r="AB46" s="47"/>
      <c r="AC46" s="47"/>
      <c r="AD46" s="47"/>
      <c r="AE46" s="336">
        <f>+AE30+AE45</f>
        <v>271.12513274336283</v>
      </c>
      <c r="AF46" s="1760"/>
      <c r="AG46" s="47"/>
      <c r="AH46" s="1760"/>
      <c r="AI46" s="1331">
        <f>+AI30+AI45</f>
        <v>211.93825503355703</v>
      </c>
      <c r="AJ46" s="793">
        <f>+AJ30+AJ45</f>
        <v>222.57235023041477</v>
      </c>
      <c r="AO46" s="470"/>
    </row>
    <row r="47" spans="2:51">
      <c r="V47" s="636"/>
      <c r="AO47" s="470"/>
    </row>
    <row r="48" spans="2:51" ht="16" customHeight="1">
      <c r="J48" s="13" t="e">
        <f t="shared" ref="J48:AD48" si="51">+J28/J47/1000</f>
        <v>#DIV/0!</v>
      </c>
      <c r="K48" s="13" t="e">
        <f t="shared" si="51"/>
        <v>#DIV/0!</v>
      </c>
      <c r="L48" s="13" t="e">
        <f t="shared" si="51"/>
        <v>#DIV/0!</v>
      </c>
      <c r="M48" s="13" t="e">
        <f t="shared" si="51"/>
        <v>#DIV/0!</v>
      </c>
      <c r="O48" s="13" t="e">
        <f t="shared" si="51"/>
        <v>#DIV/0!</v>
      </c>
      <c r="P48" s="13" t="e">
        <f t="shared" si="51"/>
        <v>#DIV/0!</v>
      </c>
      <c r="Q48" s="13" t="e">
        <f t="shared" si="51"/>
        <v>#DIV/0!</v>
      </c>
      <c r="R48" s="13" t="e">
        <f t="shared" si="51"/>
        <v>#DIV/0!</v>
      </c>
      <c r="T48" s="13" t="e">
        <f t="shared" si="51"/>
        <v>#DIV/0!</v>
      </c>
      <c r="U48" s="13" t="e">
        <f t="shared" si="51"/>
        <v>#DIV/0!</v>
      </c>
      <c r="V48" s="13" t="e">
        <f t="shared" si="51"/>
        <v>#DIV/0!</v>
      </c>
      <c r="W48" s="13" t="e">
        <f t="shared" si="51"/>
        <v>#DIV/0!</v>
      </c>
      <c r="Y48" s="13" t="e">
        <f t="shared" si="51"/>
        <v>#DIV/0!</v>
      </c>
      <c r="Z48" s="13" t="e">
        <f t="shared" si="51"/>
        <v>#DIV/0!</v>
      </c>
      <c r="AA48" s="13" t="e">
        <f t="shared" si="51"/>
        <v>#DIV/0!</v>
      </c>
      <c r="AB48" s="13" t="e">
        <f t="shared" si="51"/>
        <v>#DIV/0!</v>
      </c>
      <c r="AC48" s="13" t="e">
        <f t="shared" si="51"/>
        <v>#DIV/0!</v>
      </c>
      <c r="AD48" s="13" t="e">
        <f t="shared" si="51"/>
        <v>#DIV/0!</v>
      </c>
      <c r="AK48" s="53"/>
      <c r="AM48" s="159" t="s">
        <v>2217</v>
      </c>
      <c r="AO48" s="470"/>
      <c r="AP48" s="1123" t="s">
        <v>1014</v>
      </c>
      <c r="AQ48" s="55"/>
      <c r="AR48" s="55"/>
      <c r="AX48" s="364"/>
    </row>
    <row r="49" spans="3:53">
      <c r="C49" s="11" t="s">
        <v>2110</v>
      </c>
      <c r="S49" s="53"/>
      <c r="T49" s="53"/>
      <c r="U49" s="53"/>
      <c r="V49" s="53"/>
      <c r="W49" s="53"/>
      <c r="X49" s="53"/>
      <c r="Y49" s="53"/>
      <c r="Z49" s="53"/>
      <c r="AA49" s="53"/>
      <c r="AB49" s="53"/>
      <c r="AC49" s="53"/>
      <c r="AD49" s="53"/>
      <c r="AE49" s="53"/>
      <c r="AF49" s="53"/>
      <c r="AG49" s="53"/>
      <c r="AH49" s="53"/>
      <c r="AI49" s="53"/>
      <c r="AJ49" s="53"/>
      <c r="AM49" s="1677">
        <f>(+I54+N54+S54+X54+AE54)/5</f>
        <v>752.4</v>
      </c>
      <c r="AP49" s="791" t="s">
        <v>1337</v>
      </c>
      <c r="AQ49" s="39">
        <v>2020</v>
      </c>
      <c r="AR49" s="39">
        <v>2021</v>
      </c>
      <c r="AS49" s="39">
        <v>2022</v>
      </c>
      <c r="AT49" s="1122" t="s">
        <v>815</v>
      </c>
      <c r="AZ49" s="615"/>
    </row>
    <row r="50" spans="3:53">
      <c r="C50" s="814" t="s">
        <v>2218</v>
      </c>
      <c r="D50" s="40">
        <v>2016</v>
      </c>
      <c r="E50" s="40">
        <v>2017</v>
      </c>
      <c r="F50" s="40">
        <v>2018</v>
      </c>
      <c r="G50" s="40">
        <v>2019</v>
      </c>
      <c r="H50" s="40">
        <v>2020</v>
      </c>
      <c r="I50" s="40">
        <v>2021</v>
      </c>
      <c r="J50" s="40"/>
      <c r="K50" s="488">
        <v>2022</v>
      </c>
      <c r="L50" s="488">
        <v>2022</v>
      </c>
      <c r="M50" s="488"/>
      <c r="N50" s="40">
        <v>2022</v>
      </c>
      <c r="O50" s="40"/>
      <c r="P50" s="488">
        <v>2023</v>
      </c>
      <c r="Q50" s="488">
        <v>2023</v>
      </c>
      <c r="R50" s="488"/>
      <c r="S50" s="488">
        <v>2023</v>
      </c>
      <c r="T50" s="488"/>
      <c r="U50" s="488"/>
      <c r="V50" s="488"/>
      <c r="W50" s="488" t="s">
        <v>1669</v>
      </c>
      <c r="X50" s="488">
        <v>2024</v>
      </c>
      <c r="Y50" s="488"/>
      <c r="Z50" s="488"/>
      <c r="AA50" s="488"/>
      <c r="AB50" s="488"/>
      <c r="AC50" s="488" t="s">
        <v>2219</v>
      </c>
      <c r="AD50" s="488"/>
      <c r="AE50" s="488">
        <v>2025</v>
      </c>
      <c r="AF50" s="489"/>
      <c r="AG50" s="488"/>
      <c r="AH50" s="489"/>
      <c r="AI50" s="1729" t="s">
        <v>2068</v>
      </c>
      <c r="AJ50" s="792" t="s">
        <v>2308</v>
      </c>
      <c r="AM50" s="1897">
        <f>(+I55+N55+S55+X55+AE55)/5</f>
        <v>30.98698445276268</v>
      </c>
      <c r="AP50" s="334" t="s">
        <v>875</v>
      </c>
      <c r="AQ50" s="318">
        <f>100.9+208.1</f>
        <v>309</v>
      </c>
      <c r="AR50" s="318">
        <f>492+309</f>
        <v>801</v>
      </c>
      <c r="AS50" s="318">
        <v>1105.3</v>
      </c>
      <c r="AT50" s="1098">
        <v>1373</v>
      </c>
      <c r="AZ50" s="429"/>
    </row>
    <row r="51" spans="3:53">
      <c r="C51" s="46" t="s">
        <v>1136</v>
      </c>
      <c r="D51" s="324"/>
      <c r="E51" s="318"/>
      <c r="F51" s="318"/>
      <c r="G51" s="318"/>
      <c r="H51" s="318">
        <v>4486</v>
      </c>
      <c r="I51" s="318">
        <v>6246</v>
      </c>
      <c r="J51" s="318"/>
      <c r="K51" s="318"/>
      <c r="L51" s="318"/>
      <c r="M51" s="318"/>
      <c r="N51" s="318">
        <v>7747</v>
      </c>
      <c r="O51" s="318"/>
      <c r="P51" s="318"/>
      <c r="Q51" s="318"/>
      <c r="R51" s="318"/>
      <c r="S51" s="318">
        <v>9617</v>
      </c>
      <c r="T51" s="318"/>
      <c r="U51" s="318"/>
      <c r="V51" s="318"/>
      <c r="W51" s="318">
        <v>10063</v>
      </c>
      <c r="X51" s="318">
        <v>11583</v>
      </c>
      <c r="Y51" s="318"/>
      <c r="Z51" s="318"/>
      <c r="AA51" s="318"/>
      <c r="AB51" s="318"/>
      <c r="AC51" s="318">
        <v>10904</v>
      </c>
      <c r="AD51" s="318"/>
      <c r="AE51" s="318"/>
      <c r="AF51" s="333"/>
      <c r="AG51" s="318"/>
      <c r="AH51" s="333"/>
      <c r="AI51" s="765"/>
      <c r="AJ51" s="719"/>
      <c r="AP51" s="73" t="s">
        <v>840</v>
      </c>
      <c r="AQ51" s="318">
        <v>769.2</v>
      </c>
      <c r="AR51" s="318">
        <v>641</v>
      </c>
      <c r="AS51" s="318">
        <v>961.8</v>
      </c>
      <c r="AT51" s="1098">
        <v>1929</v>
      </c>
      <c r="AZ51" s="429"/>
    </row>
    <row r="52" spans="3:53">
      <c r="C52" s="46" t="s">
        <v>1137</v>
      </c>
      <c r="D52" s="324"/>
      <c r="E52" s="318"/>
      <c r="F52" s="318"/>
      <c r="G52" s="318"/>
      <c r="H52" s="318">
        <v>5148</v>
      </c>
      <c r="I52" s="318">
        <v>5900</v>
      </c>
      <c r="J52" s="318"/>
      <c r="K52" s="318"/>
      <c r="L52" s="318"/>
      <c r="M52" s="318"/>
      <c r="N52" s="318">
        <v>7507</v>
      </c>
      <c r="O52" s="318"/>
      <c r="P52" s="318"/>
      <c r="Q52" s="318"/>
      <c r="R52" s="318"/>
      <c r="S52" s="318">
        <v>8611</v>
      </c>
      <c r="T52" s="318"/>
      <c r="U52" s="318"/>
      <c r="V52" s="318"/>
      <c r="W52" s="318">
        <v>8141</v>
      </c>
      <c r="X52" s="318">
        <v>10103</v>
      </c>
      <c r="Y52" s="318"/>
      <c r="Z52" s="318"/>
      <c r="AA52" s="318"/>
      <c r="AB52" s="318"/>
      <c r="AC52" s="318">
        <v>8412.9</v>
      </c>
      <c r="AD52" s="318"/>
      <c r="AE52" s="318"/>
      <c r="AF52" s="333"/>
      <c r="AG52" s="318"/>
      <c r="AH52" s="333"/>
      <c r="AI52" s="765"/>
      <c r="AJ52" s="719"/>
      <c r="AM52" s="2066" t="s">
        <v>779</v>
      </c>
      <c r="AN52" s="2067"/>
      <c r="AP52" s="73" t="s">
        <v>841</v>
      </c>
      <c r="AQ52" s="318">
        <v>-112.8</v>
      </c>
      <c r="AR52" s="318">
        <v>402</v>
      </c>
      <c r="AS52" s="318">
        <v>1014.7</v>
      </c>
      <c r="AT52" s="1098">
        <v>1100</v>
      </c>
      <c r="AZ52" s="429"/>
    </row>
    <row r="53" spans="3:53">
      <c r="C53" s="46" t="s">
        <v>1138</v>
      </c>
      <c r="D53" s="318"/>
      <c r="E53" s="318"/>
      <c r="F53" s="318"/>
      <c r="G53" s="318"/>
      <c r="H53" s="318">
        <f t="shared" ref="H53:I53" si="52">+H51-H52</f>
        <v>-662</v>
      </c>
      <c r="I53" s="318">
        <f t="shared" si="52"/>
        <v>346</v>
      </c>
      <c r="J53" s="318"/>
      <c r="K53" s="318">
        <f>+K51-K52</f>
        <v>0</v>
      </c>
      <c r="L53" s="318">
        <f>+L51-L52</f>
        <v>0</v>
      </c>
      <c r="M53" s="318">
        <f>+M51-M52</f>
        <v>0</v>
      </c>
      <c r="N53" s="318">
        <f>+N51-N52</f>
        <v>240</v>
      </c>
      <c r="O53" s="318">
        <f t="shared" ref="O53:X53" si="53">+O51-O52</f>
        <v>0</v>
      </c>
      <c r="P53" s="318">
        <f t="shared" si="53"/>
        <v>0</v>
      </c>
      <c r="Q53" s="318">
        <f t="shared" si="53"/>
        <v>0</v>
      </c>
      <c r="R53" s="318">
        <f t="shared" si="53"/>
        <v>0</v>
      </c>
      <c r="S53" s="318">
        <f t="shared" si="53"/>
        <v>1006</v>
      </c>
      <c r="T53" s="318">
        <f t="shared" si="53"/>
        <v>0</v>
      </c>
      <c r="U53" s="318">
        <f t="shared" si="53"/>
        <v>0</v>
      </c>
      <c r="V53" s="318">
        <f t="shared" si="53"/>
        <v>0</v>
      </c>
      <c r="W53" s="318">
        <f t="shared" si="53"/>
        <v>1922</v>
      </c>
      <c r="X53" s="318">
        <f t="shared" si="53"/>
        <v>1480</v>
      </c>
      <c r="Y53" s="318"/>
      <c r="Z53" s="318"/>
      <c r="AA53" s="318"/>
      <c r="AB53" s="719"/>
      <c r="AC53" s="318">
        <f>+AC51-AC52</f>
        <v>2491.1000000000004</v>
      </c>
      <c r="AD53" s="318"/>
      <c r="AE53" s="318">
        <v>3100</v>
      </c>
      <c r="AF53" s="333"/>
      <c r="AG53" s="318"/>
      <c r="AH53" s="333"/>
      <c r="AI53" s="765">
        <v>3800</v>
      </c>
      <c r="AJ53" s="719">
        <v>4300</v>
      </c>
      <c r="AM53" s="1103">
        <v>2023</v>
      </c>
      <c r="AN53" s="1104">
        <v>2022</v>
      </c>
      <c r="AP53" s="48" t="s">
        <v>135</v>
      </c>
      <c r="AQ53" s="336">
        <f>SUM(AQ50:AQ52)</f>
        <v>965.40000000000009</v>
      </c>
      <c r="AR53" s="336">
        <f>SUM(AR50:AR52)</f>
        <v>1844</v>
      </c>
      <c r="AS53" s="336">
        <f>SUM(AS50:AS52)</f>
        <v>3081.8</v>
      </c>
      <c r="AT53" s="605">
        <f>SUM(AT50:AT52)</f>
        <v>4402</v>
      </c>
      <c r="AW53" s="492">
        <f>(+AT54-AS54)/AS54</f>
        <v>0.43454284441918173</v>
      </c>
      <c r="AZ53" s="469"/>
    </row>
    <row r="54" spans="3:53">
      <c r="C54" s="438" t="s">
        <v>1139</v>
      </c>
      <c r="D54" s="769"/>
      <c r="E54" s="719"/>
      <c r="F54" s="719"/>
      <c r="G54" s="719"/>
      <c r="H54" s="719"/>
      <c r="I54" s="719">
        <f t="shared" ref="I54" si="54">+I53-H53</f>
        <v>1008</v>
      </c>
      <c r="J54" s="719"/>
      <c r="K54" s="719">
        <f>+K53-O53</f>
        <v>0</v>
      </c>
      <c r="L54" s="719" t="e">
        <f>+L53-#REF!</f>
        <v>#REF!</v>
      </c>
      <c r="M54" s="719" t="e">
        <f>+M53-#REF!</f>
        <v>#REF!</v>
      </c>
      <c r="N54" s="719">
        <f>+N53-I53</f>
        <v>-106</v>
      </c>
      <c r="O54" s="719">
        <f t="shared" ref="O54" si="55">+O53-N53</f>
        <v>-240</v>
      </c>
      <c r="P54" s="719">
        <f t="shared" ref="P54:X54" si="56">+P53-K53</f>
        <v>0</v>
      </c>
      <c r="Q54" s="719">
        <f t="shared" si="56"/>
        <v>0</v>
      </c>
      <c r="R54" s="719">
        <f t="shared" si="56"/>
        <v>0</v>
      </c>
      <c r="S54" s="719">
        <f t="shared" si="56"/>
        <v>766</v>
      </c>
      <c r="T54" s="719">
        <f t="shared" si="56"/>
        <v>0</v>
      </c>
      <c r="U54" s="719">
        <f t="shared" si="56"/>
        <v>0</v>
      </c>
      <c r="V54" s="719">
        <f t="shared" si="56"/>
        <v>0</v>
      </c>
      <c r="W54" s="719">
        <f t="shared" si="56"/>
        <v>1922</v>
      </c>
      <c r="X54" s="719">
        <f t="shared" si="56"/>
        <v>474</v>
      </c>
      <c r="Y54" s="318"/>
      <c r="Z54" s="318"/>
      <c r="AA54" s="318"/>
      <c r="AB54" s="318"/>
      <c r="AC54" s="719">
        <f>+AC53-X53</f>
        <v>1011.1000000000004</v>
      </c>
      <c r="AD54" s="318"/>
      <c r="AE54" s="318">
        <f>+AE53-X53</f>
        <v>1620</v>
      </c>
      <c r="AF54" s="333"/>
      <c r="AG54" s="318"/>
      <c r="AH54" s="333"/>
      <c r="AI54" s="765">
        <f>+AI53-AE53</f>
        <v>700</v>
      </c>
      <c r="AJ54" s="719">
        <f>+AJ53-AI53</f>
        <v>500</v>
      </c>
      <c r="AM54" s="154"/>
      <c r="AN54" s="154"/>
      <c r="AP54" s="46" t="s">
        <v>134</v>
      </c>
      <c r="AQ54" s="324">
        <f>+AQ53/AQ56</f>
        <v>36.847328244274813</v>
      </c>
      <c r="AR54" s="324">
        <f>+AR53/AR56</f>
        <v>77.154811715481173</v>
      </c>
      <c r="AS54" s="324">
        <f>+AS53/AS56</f>
        <v>132.26609442060087</v>
      </c>
      <c r="AT54" s="705">
        <f>+AT53/AT56</f>
        <v>189.74137931034483</v>
      </c>
      <c r="AW54" s="492">
        <f>(+AT54-AQ54)/AQ54</f>
        <v>4.1493931405956426</v>
      </c>
      <c r="AZ54" s="425"/>
    </row>
    <row r="55" spans="3:53">
      <c r="C55" s="46" t="s">
        <v>2107</v>
      </c>
      <c r="D55" s="324"/>
      <c r="E55" s="318"/>
      <c r="F55" s="318"/>
      <c r="G55" s="318"/>
      <c r="H55" s="318"/>
      <c r="I55" s="318">
        <f>+I54/I35</f>
        <v>37.611940298507463</v>
      </c>
      <c r="J55" s="318"/>
      <c r="K55" s="318"/>
      <c r="L55" s="318"/>
      <c r="M55" s="318"/>
      <c r="N55" s="318">
        <f>+N54/N35</f>
        <v>-4.1503523884103366</v>
      </c>
      <c r="O55" s="318"/>
      <c r="P55" s="318"/>
      <c r="Q55" s="318"/>
      <c r="R55" s="318"/>
      <c r="S55" s="318">
        <f>+S54/S35</f>
        <v>30.285745585006584</v>
      </c>
      <c r="T55" s="318"/>
      <c r="U55" s="318"/>
      <c r="V55" s="318"/>
      <c r="W55" s="318">
        <f>+W54/W32</f>
        <v>85.422222222222217</v>
      </c>
      <c r="X55" s="318">
        <f>+X54/X35</f>
        <v>19.506172839506171</v>
      </c>
      <c r="Y55" s="318"/>
      <c r="Z55" s="318"/>
      <c r="AA55" s="318"/>
      <c r="AB55" s="318"/>
      <c r="AC55" s="318">
        <f>+AC54/AC35</f>
        <v>43.394849785407743</v>
      </c>
      <c r="AD55" s="318"/>
      <c r="AE55" s="318">
        <f>+AE54/AE36</f>
        <v>71.681415929203538</v>
      </c>
      <c r="AF55" s="333"/>
      <c r="AG55" s="318"/>
      <c r="AH55" s="333"/>
      <c r="AI55" s="765">
        <f>+AI54/AI35</f>
        <v>31.319910514541384</v>
      </c>
      <c r="AJ55" s="719">
        <f>+AJ54/AJ35</f>
        <v>23.041474654377883</v>
      </c>
      <c r="AM55" s="154"/>
      <c r="AN55" s="154"/>
      <c r="AP55" s="50"/>
      <c r="AQ55" s="324"/>
      <c r="AR55" s="324"/>
      <c r="AS55" s="324"/>
      <c r="AT55" s="705"/>
      <c r="AW55" s="492"/>
      <c r="AZ55" s="425"/>
    </row>
    <row r="56" spans="3:53">
      <c r="C56" s="46" t="s">
        <v>2108</v>
      </c>
      <c r="D56" s="324"/>
      <c r="E56" s="318"/>
      <c r="F56" s="318"/>
      <c r="G56" s="318"/>
      <c r="H56" s="318"/>
      <c r="I56" s="318">
        <f>+I55*0.8</f>
        <v>30.089552238805972</v>
      </c>
      <c r="J56" s="318"/>
      <c r="K56" s="318"/>
      <c r="L56" s="318"/>
      <c r="M56" s="318"/>
      <c r="N56" s="318">
        <f>+N55*0.8</f>
        <v>-3.3202819107282693</v>
      </c>
      <c r="O56" s="318"/>
      <c r="P56" s="318"/>
      <c r="Q56" s="318"/>
      <c r="R56" s="318"/>
      <c r="S56" s="318">
        <f>+S55*0.8</f>
        <v>24.228596468005268</v>
      </c>
      <c r="T56" s="318"/>
      <c r="U56" s="318"/>
      <c r="V56" s="318"/>
      <c r="W56" s="318">
        <f>+W55*0.8</f>
        <v>68.337777777777774</v>
      </c>
      <c r="X56" s="318">
        <f>+X55*0.8</f>
        <v>15.604938271604937</v>
      </c>
      <c r="Y56" s="318"/>
      <c r="Z56" s="318"/>
      <c r="AA56" s="318"/>
      <c r="AB56" s="318"/>
      <c r="AC56" s="318">
        <f>+AC55*0.8</f>
        <v>34.715879828326194</v>
      </c>
      <c r="AD56" s="318"/>
      <c r="AE56" s="318">
        <f>+AE55*0.8</f>
        <v>57.345132743362832</v>
      </c>
      <c r="AF56" s="333"/>
      <c r="AG56" s="318"/>
      <c r="AH56" s="333"/>
      <c r="AI56" s="765">
        <f>+AI55*0.8</f>
        <v>25.055928411633108</v>
      </c>
      <c r="AJ56" s="719">
        <f>+AJ55*0.8</f>
        <v>18.433179723502306</v>
      </c>
      <c r="AM56" s="1105">
        <v>-22.7</v>
      </c>
      <c r="AN56" s="1106">
        <v>506</v>
      </c>
      <c r="AP56" s="50" t="s">
        <v>879</v>
      </c>
      <c r="AQ56" s="45">
        <v>26.2</v>
      </c>
      <c r="AR56" s="45">
        <v>23.9</v>
      </c>
      <c r="AS56" s="45">
        <v>23.3</v>
      </c>
      <c r="AT56" s="704">
        <v>23.2</v>
      </c>
      <c r="AZ56" s="104"/>
    </row>
    <row r="57" spans="3:53">
      <c r="AM57" s="356"/>
      <c r="AN57" s="260"/>
    </row>
    <row r="58" spans="3:53">
      <c r="C58" s="46" t="s">
        <v>2077</v>
      </c>
      <c r="D58" s="46"/>
      <c r="E58" s="318"/>
      <c r="F58" s="46"/>
      <c r="G58" s="46"/>
      <c r="H58" s="318">
        <v>6.29</v>
      </c>
      <c r="I58" s="318">
        <v>122.25</v>
      </c>
      <c r="J58" s="318"/>
      <c r="K58" s="318"/>
      <c r="L58" s="318"/>
      <c r="M58" s="318"/>
      <c r="N58" s="318">
        <v>43.49</v>
      </c>
      <c r="O58" s="318"/>
      <c r="P58" s="318"/>
      <c r="Q58" s="318"/>
      <c r="R58" s="318"/>
      <c r="S58" s="318">
        <f>+S30</f>
        <v>173.24</v>
      </c>
      <c r="T58" s="318"/>
      <c r="U58" s="318"/>
      <c r="V58" s="318"/>
      <c r="W58" s="318"/>
      <c r="X58" s="318">
        <f>+X30</f>
        <v>160.56</v>
      </c>
      <c r="Y58" s="318"/>
      <c r="Z58" s="318"/>
      <c r="AA58" s="318"/>
      <c r="AB58" s="318"/>
      <c r="AC58" s="318">
        <f>+AC30</f>
        <v>156.31</v>
      </c>
      <c r="AD58" s="318"/>
      <c r="AE58" s="740">
        <f>+AE30</f>
        <v>213.78</v>
      </c>
      <c r="AF58" s="333"/>
      <c r="AG58" s="740"/>
      <c r="AH58" s="333"/>
      <c r="AI58" s="765">
        <f>+AI30</f>
        <v>186.88232662192391</v>
      </c>
      <c r="AJ58" s="719">
        <f>+AJ30</f>
        <v>204.13917050691245</v>
      </c>
      <c r="AM58" s="1107">
        <v>14.8</v>
      </c>
      <c r="AN58" s="1108">
        <v>-83.1</v>
      </c>
    </row>
    <row r="59" spans="3:53">
      <c r="C59" s="47" t="s">
        <v>2109</v>
      </c>
      <c r="D59" s="47"/>
      <c r="E59" s="336"/>
      <c r="F59" s="47"/>
      <c r="G59" s="47"/>
      <c r="H59" s="336"/>
      <c r="I59" s="336">
        <f>+I56+I58</f>
        <v>152.33955223880596</v>
      </c>
      <c r="J59" s="336"/>
      <c r="K59" s="994" t="e">
        <f>+#REF!-K58</f>
        <v>#REF!</v>
      </c>
      <c r="L59" s="336"/>
      <c r="M59" s="336"/>
      <c r="N59" s="336">
        <f>+N56+N58</f>
        <v>40.169718089271733</v>
      </c>
      <c r="O59" s="336"/>
      <c r="P59" s="336" t="s">
        <v>121</v>
      </c>
      <c r="Q59" s="336"/>
      <c r="R59" s="336"/>
      <c r="S59" s="336">
        <f>+S56+S58</f>
        <v>197.46859646800527</v>
      </c>
      <c r="T59" s="336"/>
      <c r="U59" s="336"/>
      <c r="V59" s="336"/>
      <c r="W59" s="336"/>
      <c r="X59" s="336">
        <f>+X56+X58</f>
        <v>176.16493827160494</v>
      </c>
      <c r="Y59" s="336"/>
      <c r="Z59" s="336"/>
      <c r="AA59" s="336"/>
      <c r="AB59" s="336"/>
      <c r="AC59" s="336">
        <f>+AC58+AC56</f>
        <v>191.0258798283262</v>
      </c>
      <c r="AD59" s="336"/>
      <c r="AE59" s="1359">
        <f>+AE56+AE58</f>
        <v>271.12513274336283</v>
      </c>
      <c r="AF59" s="1760"/>
      <c r="AG59" s="1359"/>
      <c r="AH59" s="1760"/>
      <c r="AI59" s="1331">
        <f>+AI56+AI58</f>
        <v>211.93825503355703</v>
      </c>
      <c r="AJ59" s="793">
        <f>+AJ56+AJ58</f>
        <v>222.57235023041477</v>
      </c>
      <c r="AM59" s="1109"/>
      <c r="AN59" s="1110"/>
    </row>
    <row r="60" spans="3:53">
      <c r="E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M60" s="1111">
        <v>-7.9</v>
      </c>
      <c r="AN60" s="1112">
        <v>422.9</v>
      </c>
      <c r="AP60" s="11" t="s">
        <v>1014</v>
      </c>
    </row>
    <row r="61" spans="3:53">
      <c r="D61" s="30"/>
      <c r="E61" s="53"/>
      <c r="F61" s="53"/>
      <c r="G61" s="53"/>
      <c r="H61" s="53"/>
      <c r="I61" s="974"/>
      <c r="J61" s="974"/>
      <c r="K61" s="53"/>
      <c r="N61" s="278"/>
      <c r="S61" s="974"/>
      <c r="T61" s="53"/>
      <c r="U61" s="53"/>
      <c r="V61" s="53"/>
      <c r="W61" s="53"/>
      <c r="X61" s="1820"/>
      <c r="Y61" s="974"/>
      <c r="Z61" s="974"/>
      <c r="AA61" s="1820">
        <f>(3000*0.8)/AA33</f>
        <v>111.1111111111111</v>
      </c>
      <c r="AB61" s="974"/>
      <c r="AC61" s="974"/>
      <c r="AD61" s="974"/>
      <c r="AE61" s="278"/>
      <c r="AF61" s="278"/>
      <c r="AG61" s="278"/>
      <c r="AH61" s="278"/>
      <c r="AI61" s="974"/>
      <c r="AJ61" s="974"/>
      <c r="AM61" s="154"/>
      <c r="AN61" s="154"/>
      <c r="AP61" s="791" t="s">
        <v>1337</v>
      </c>
      <c r="AQ61" s="39">
        <v>2015</v>
      </c>
      <c r="AR61" s="40">
        <v>2016</v>
      </c>
      <c r="AS61" s="40">
        <v>2017</v>
      </c>
      <c r="AT61" s="40">
        <v>2018</v>
      </c>
      <c r="AU61" s="40">
        <v>2019</v>
      </c>
      <c r="AV61" s="40"/>
      <c r="AW61" s="40">
        <v>2020</v>
      </c>
      <c r="AX61" s="40">
        <v>2021</v>
      </c>
      <c r="AY61" s="40">
        <v>2022</v>
      </c>
      <c r="AZ61" s="720" t="s">
        <v>815</v>
      </c>
      <c r="BA61" s="792" t="s">
        <v>1060</v>
      </c>
    </row>
    <row r="62" spans="3:53">
      <c r="C62" s="46" t="s">
        <v>2319</v>
      </c>
      <c r="D62" s="53"/>
      <c r="E62" s="53"/>
      <c r="F62" s="53"/>
      <c r="G62" s="53"/>
      <c r="H62" s="1116" t="s">
        <v>2114</v>
      </c>
      <c r="J62" s="612"/>
      <c r="K62" s="612"/>
      <c r="L62" s="612"/>
      <c r="M62" s="612"/>
      <c r="O62" s="612"/>
      <c r="P62" s="612"/>
      <c r="Q62" s="612"/>
      <c r="R62" s="612"/>
      <c r="T62" s="612"/>
      <c r="U62" s="612"/>
      <c r="V62" s="612"/>
      <c r="W62" s="612"/>
      <c r="Y62" s="2007"/>
      <c r="Z62" s="2007"/>
      <c r="AA62" s="2008">
        <f>+AA40+AA61</f>
        <v>1269.5811111111111</v>
      </c>
      <c r="AB62" s="2008">
        <v>1750</v>
      </c>
      <c r="AC62" s="2008">
        <f>1270+80</f>
        <v>1350</v>
      </c>
      <c r="AD62" s="2008"/>
      <c r="AM62" s="154"/>
      <c r="AN62" s="154"/>
      <c r="AP62" s="334" t="s">
        <v>875</v>
      </c>
      <c r="AQ62" s="335">
        <v>704.5</v>
      </c>
      <c r="AR62" s="335">
        <f>390.8+185.1</f>
        <v>575.9</v>
      </c>
      <c r="AS62" s="335">
        <f>+-848.9+207.4</f>
        <v>-641.5</v>
      </c>
      <c r="AT62" s="335">
        <f>75.9+242.9</f>
        <v>318.8</v>
      </c>
      <c r="AU62" s="335">
        <f>130.3+264.2</f>
        <v>394.5</v>
      </c>
      <c r="AV62" s="335"/>
      <c r="AW62" s="335">
        <f>100.9+208.1</f>
        <v>309</v>
      </c>
      <c r="AX62" s="335">
        <f>492+309</f>
        <v>801</v>
      </c>
      <c r="AY62" s="335">
        <v>1105.3</v>
      </c>
      <c r="AZ62" s="613">
        <v>1373</v>
      </c>
      <c r="BA62" s="750">
        <v>1270</v>
      </c>
    </row>
    <row r="63" spans="3:53">
      <c r="K63" s="53"/>
      <c r="W63" s="756" t="e">
        <f>+#REF!+#REF!+#REF!+#REF!+#REF!</f>
        <v>#REF!</v>
      </c>
      <c r="Y63" s="245"/>
      <c r="Z63" s="245"/>
      <c r="AA63" s="1821"/>
      <c r="AB63" s="1822">
        <f>+AB62/AA62</f>
        <v>1.3784074012163241</v>
      </c>
      <c r="AC63" s="1822">
        <f>+AB62/AC62</f>
        <v>1.2962962962962963</v>
      </c>
      <c r="AD63" s="1821"/>
      <c r="AM63" s="154"/>
      <c r="AN63" s="154"/>
      <c r="AP63" s="73" t="s">
        <v>840</v>
      </c>
      <c r="AQ63" s="333">
        <v>512.20000000000005</v>
      </c>
      <c r="AR63" s="333">
        <v>555.20000000000005</v>
      </c>
      <c r="AS63" s="333">
        <v>559</v>
      </c>
      <c r="AT63" s="333">
        <v>783.5</v>
      </c>
      <c r="AU63" s="333">
        <v>880.2</v>
      </c>
      <c r="AV63" s="333"/>
      <c r="AW63" s="333">
        <v>769.2</v>
      </c>
      <c r="AX63" s="333">
        <v>641</v>
      </c>
      <c r="AY63" s="333">
        <v>961.8</v>
      </c>
      <c r="AZ63" s="614">
        <v>1929</v>
      </c>
      <c r="BA63" s="751">
        <v>2250</v>
      </c>
    </row>
    <row r="64" spans="3:53">
      <c r="C64" s="53"/>
      <c r="W64" t="e">
        <f>+W63/5</f>
        <v>#REF!</v>
      </c>
      <c r="AM64" s="315"/>
      <c r="AN64" s="315"/>
      <c r="AP64" s="73" t="s">
        <v>841</v>
      </c>
      <c r="AQ64" s="401">
        <v>172.9</v>
      </c>
      <c r="AR64" s="333">
        <v>24.2</v>
      </c>
      <c r="AS64" s="333">
        <v>200.5</v>
      </c>
      <c r="AT64" s="333">
        <v>221.1</v>
      </c>
      <c r="AU64" s="333">
        <v>169.6</v>
      </c>
      <c r="AV64" s="333"/>
      <c r="AW64" s="333">
        <v>-112.8</v>
      </c>
      <c r="AX64" s="333">
        <v>402</v>
      </c>
      <c r="AY64" s="333">
        <v>1014.7</v>
      </c>
      <c r="AZ64" s="614">
        <v>1100</v>
      </c>
      <c r="BA64" s="751">
        <v>1100</v>
      </c>
    </row>
    <row r="65" spans="5:55">
      <c r="K65" s="53">
        <f>-+K21-195.2</f>
        <v>19.200000000000017</v>
      </c>
      <c r="AI65" s="636">
        <f>+AI30+AI45</f>
        <v>211.93825503355703</v>
      </c>
      <c r="AJ65" s="636">
        <f>+AJ30+AJ45</f>
        <v>222.57235023041477</v>
      </c>
      <c r="AM65" s="1108">
        <v>387.3</v>
      </c>
      <c r="AN65" s="1108">
        <v>399.2</v>
      </c>
      <c r="AP65" s="48" t="s">
        <v>135</v>
      </c>
      <c r="AQ65" s="336">
        <f t="shared" ref="AQ65" si="57">SUM(AQ62:AQ64)</f>
        <v>1389.6000000000001</v>
      </c>
      <c r="AR65" s="336">
        <f t="shared" ref="AR65:AY65" si="58">SUM(AR62:AR64)</f>
        <v>1155.3</v>
      </c>
      <c r="AS65" s="336">
        <f t="shared" si="58"/>
        <v>118</v>
      </c>
      <c r="AT65" s="336">
        <f t="shared" si="58"/>
        <v>1323.3999999999999</v>
      </c>
      <c r="AU65" s="336">
        <f t="shared" si="58"/>
        <v>1444.3</v>
      </c>
      <c r="AV65" s="336"/>
      <c r="AW65" s="336">
        <f t="shared" si="58"/>
        <v>965.40000000000009</v>
      </c>
      <c r="AX65" s="336">
        <f t="shared" si="58"/>
        <v>1844</v>
      </c>
      <c r="AY65" s="336">
        <f t="shared" si="58"/>
        <v>3081.8</v>
      </c>
      <c r="AZ65" s="605">
        <f>SUM(AZ62:AZ64)</f>
        <v>4402</v>
      </c>
      <c r="BA65" s="793">
        <f>SUM(BA62:BA64)</f>
        <v>4620</v>
      </c>
    </row>
    <row r="66" spans="5:55">
      <c r="Y66" s="11"/>
      <c r="Z66" s="11"/>
      <c r="AA66" s="11"/>
      <c r="AB66" s="11"/>
      <c r="AC66" s="11"/>
      <c r="AD66" s="11"/>
      <c r="AE66" s="53"/>
      <c r="AF66" s="53"/>
      <c r="AG66" s="53"/>
      <c r="AH66" s="53"/>
      <c r="AI66" s="13">
        <f>+AI65/((AE40+AI40)/2)</f>
        <v>0.15744249952008454</v>
      </c>
      <c r="AJ66" s="13">
        <f>+AJ65/((AI40+AJ40)/2)</f>
        <v>0.14579211306795523</v>
      </c>
      <c r="AM66" s="1108">
        <v>79.599999999999994</v>
      </c>
      <c r="AN66" s="1108">
        <v>-50.6</v>
      </c>
      <c r="AP66" s="46" t="s">
        <v>134</v>
      </c>
      <c r="AQ66" s="324">
        <f>+AQ65/AQ67</f>
        <v>62.594594594594604</v>
      </c>
      <c r="AR66" s="324">
        <f>+AR65/AR67</f>
        <v>50.012987012987011</v>
      </c>
      <c r="AS66" s="324">
        <f t="shared" ref="AS66:BA66" si="59">+AS65/AS67</f>
        <v>4.2522522522522523</v>
      </c>
      <c r="AT66" s="324">
        <f t="shared" si="59"/>
        <v>48.654411764705877</v>
      </c>
      <c r="AU66" s="324">
        <f t="shared" si="59"/>
        <v>53.891791044776113</v>
      </c>
      <c r="AV66" s="324"/>
      <c r="AW66" s="324">
        <f t="shared" si="59"/>
        <v>36.847328244274813</v>
      </c>
      <c r="AX66" s="324">
        <f t="shared" si="59"/>
        <v>77.154811715481173</v>
      </c>
      <c r="AY66" s="324">
        <f t="shared" si="59"/>
        <v>132.26609442060087</v>
      </c>
      <c r="AZ66" s="705">
        <f t="shared" si="59"/>
        <v>189.74137931034483</v>
      </c>
      <c r="BA66" s="769">
        <f t="shared" si="59"/>
        <v>201.74672489082971</v>
      </c>
    </row>
    <row r="67" spans="5:55">
      <c r="J67" s="42"/>
      <c r="Y67" s="11"/>
      <c r="Z67" s="11"/>
      <c r="AA67" s="11"/>
      <c r="AB67" s="11"/>
      <c r="AC67" s="11"/>
      <c r="AD67" s="11"/>
      <c r="AE67" s="53"/>
      <c r="AF67" s="53"/>
      <c r="AG67" s="53"/>
      <c r="AH67" s="53"/>
      <c r="AI67" s="53"/>
      <c r="AJ67" s="53"/>
      <c r="AM67" s="1112">
        <v>466.9</v>
      </c>
      <c r="AN67" s="1112">
        <v>348.6</v>
      </c>
      <c r="AP67" s="50" t="s">
        <v>879</v>
      </c>
      <c r="AQ67" s="45">
        <v>22.2</v>
      </c>
      <c r="AR67" s="45">
        <v>23.1</v>
      </c>
      <c r="AS67" s="45">
        <v>27.75</v>
      </c>
      <c r="AT67" s="45">
        <v>27.2</v>
      </c>
      <c r="AU67" s="45">
        <v>26.8</v>
      </c>
      <c r="AV67" s="45"/>
      <c r="AW67" s="45">
        <v>26.2</v>
      </c>
      <c r="AX67" s="45">
        <v>23.9</v>
      </c>
      <c r="AY67" s="45">
        <v>23.3</v>
      </c>
      <c r="AZ67" s="704">
        <v>23.2</v>
      </c>
      <c r="BA67" s="794">
        <v>22.9</v>
      </c>
    </row>
    <row r="68" spans="5:55">
      <c r="J68" s="756"/>
      <c r="AM68" s="1113"/>
      <c r="AN68" s="1113"/>
    </row>
    <row r="69" spans="5:55">
      <c r="J69" s="756"/>
      <c r="AM69" s="1114">
        <v>459</v>
      </c>
      <c r="AN69" s="1115">
        <v>771.5</v>
      </c>
      <c r="AQ69" s="53">
        <f>SUM(AQ65:AW65)</f>
        <v>6396</v>
      </c>
      <c r="AR69">
        <f>+AQ69/6</f>
        <v>1066</v>
      </c>
      <c r="AS69" t="s">
        <v>1364</v>
      </c>
      <c r="AZ69" s="53">
        <f>+AZ65-AR69</f>
        <v>3336</v>
      </c>
      <c r="BA69" s="492">
        <f>+AZ69/AR69</f>
        <v>3.1294559099437147</v>
      </c>
    </row>
    <row r="70" spans="5:55">
      <c r="J70" s="1754"/>
      <c r="AR70" s="1151">
        <v>43</v>
      </c>
      <c r="AS70" t="s">
        <v>919</v>
      </c>
    </row>
    <row r="71" spans="5:55">
      <c r="J71" s="1754"/>
      <c r="T71" s="650"/>
      <c r="U71" s="650"/>
      <c r="V71" s="650"/>
      <c r="W71" s="650"/>
      <c r="AR71" s="1151"/>
    </row>
    <row r="72" spans="5:55" ht="5" customHeight="1">
      <c r="J72" s="756"/>
      <c r="AR72" s="1151"/>
    </row>
    <row r="73" spans="5:55" ht="16" customHeight="1">
      <c r="J73" s="756"/>
    </row>
    <row r="74" spans="5:55" ht="6" customHeight="1">
      <c r="AQ74" s="53">
        <f>SUM(AQ65:AU65)</f>
        <v>5430.6</v>
      </c>
      <c r="AR74">
        <f>+AQ74/5</f>
        <v>1086.1200000000001</v>
      </c>
      <c r="AZ74" s="53"/>
      <c r="BA74" s="492"/>
    </row>
    <row r="75" spans="5:55">
      <c r="AR75" s="612">
        <v>44</v>
      </c>
      <c r="AS75" t="s">
        <v>919</v>
      </c>
      <c r="AZ75" s="53"/>
      <c r="BA75" s="492"/>
    </row>
    <row r="77" spans="5:55">
      <c r="AW77" s="11" t="s">
        <v>2214</v>
      </c>
      <c r="AY77" s="40" t="s">
        <v>16</v>
      </c>
      <c r="AZ77" s="814"/>
    </row>
    <row r="78" spans="5:55">
      <c r="AW78" s="282" t="s">
        <v>2312</v>
      </c>
      <c r="AX78" s="151" t="s">
        <v>1505</v>
      </c>
      <c r="AY78" s="51" t="s">
        <v>1940</v>
      </c>
      <c r="AZ78" s="40" t="s">
        <v>1722</v>
      </c>
      <c r="BB78" s="40" t="s">
        <v>2094</v>
      </c>
    </row>
    <row r="79" spans="5:55">
      <c r="H79">
        <v>2023</v>
      </c>
      <c r="I79" t="s">
        <v>1060</v>
      </c>
      <c r="N79" t="s">
        <v>1061</v>
      </c>
      <c r="AW79" s="1766" t="s">
        <v>42</v>
      </c>
      <c r="AX79" s="101" t="s">
        <v>1245</v>
      </c>
      <c r="AY79" s="41" t="s">
        <v>1686</v>
      </c>
      <c r="AZ79" s="41" t="s">
        <v>1245</v>
      </c>
      <c r="BB79" s="41" t="s">
        <v>170</v>
      </c>
      <c r="BC79" s="129" t="s">
        <v>955</v>
      </c>
    </row>
    <row r="80" spans="5:55">
      <c r="E80" t="s">
        <v>1687</v>
      </c>
      <c r="H80" s="152">
        <v>0.95</v>
      </c>
      <c r="I80" s="152">
        <v>0.94</v>
      </c>
      <c r="J80" s="152"/>
      <c r="N80" s="1429">
        <v>0.94499999999999995</v>
      </c>
      <c r="AW80" s="45">
        <v>2023</v>
      </c>
      <c r="AX80" s="812">
        <f>+S30</f>
        <v>173.24</v>
      </c>
      <c r="AY80" s="812">
        <f>+S56</f>
        <v>24.228596468005268</v>
      </c>
      <c r="AZ80" s="324">
        <f>+AX80+AY80</f>
        <v>197.46859646800527</v>
      </c>
      <c r="BB80" s="401">
        <f>+S40</f>
        <v>939.95</v>
      </c>
      <c r="BC80" s="902" t="e">
        <f>+#REF!</f>
        <v>#REF!</v>
      </c>
    </row>
    <row r="81" spans="5:55">
      <c r="E81" t="s">
        <v>1688</v>
      </c>
      <c r="AW81" s="45">
        <v>2024</v>
      </c>
      <c r="AX81" s="324">
        <f>+X30</f>
        <v>160.56</v>
      </c>
      <c r="AY81" s="324">
        <f>+X56</f>
        <v>15.604938271604937</v>
      </c>
      <c r="AZ81" s="324">
        <f>+AX81+AY81</f>
        <v>176.16493827160494</v>
      </c>
      <c r="BB81" s="318">
        <f>+X40</f>
        <v>1059.5999999999999</v>
      </c>
      <c r="BC81" s="902" t="e">
        <f>+#REF!</f>
        <v>#REF!</v>
      </c>
    </row>
    <row r="82" spans="5:55">
      <c r="E82" t="s">
        <v>1690</v>
      </c>
      <c r="H82">
        <v>65</v>
      </c>
      <c r="I82">
        <v>70</v>
      </c>
      <c r="N82">
        <v>75</v>
      </c>
      <c r="AW82" s="45">
        <v>2025</v>
      </c>
      <c r="AX82" s="324">
        <f>+AE30</f>
        <v>213.78</v>
      </c>
      <c r="AY82" s="324">
        <f>+AE56</f>
        <v>57.345132743362832</v>
      </c>
      <c r="AZ82" s="324">
        <f>+AX82+AY82</f>
        <v>271.12513274336283</v>
      </c>
      <c r="BB82" s="740">
        <f>+AE40</f>
        <v>1260.19</v>
      </c>
      <c r="BC82" s="984" t="e">
        <f>+#REF!</f>
        <v>#REF!</v>
      </c>
    </row>
    <row r="83" spans="5:55">
      <c r="E83" t="s">
        <v>1285</v>
      </c>
      <c r="H83">
        <v>45</v>
      </c>
      <c r="I83">
        <v>50</v>
      </c>
      <c r="N83">
        <v>54</v>
      </c>
      <c r="AW83" s="981" t="s">
        <v>2213</v>
      </c>
      <c r="AX83" s="1244">
        <f>(+AX80+AX81+AX82)/3</f>
        <v>182.52666666666667</v>
      </c>
      <c r="AY83" s="1244">
        <f>(+AY80+AY81+AY82)/3</f>
        <v>32.392889160991011</v>
      </c>
      <c r="AZ83" s="1244">
        <f>(+AZ80+AZ81+AZ82)/3</f>
        <v>214.91955582765772</v>
      </c>
      <c r="BB83" s="46"/>
      <c r="BC83" s="902" t="e">
        <f>SUM(BC80+BC81+BC82+#REF!)/4</f>
        <v>#REF!</v>
      </c>
    </row>
    <row r="84" spans="5:55">
      <c r="E84" t="s">
        <v>1689</v>
      </c>
      <c r="H84">
        <v>20</v>
      </c>
      <c r="I84">
        <v>20</v>
      </c>
      <c r="N84">
        <v>21</v>
      </c>
      <c r="AW84" s="30"/>
      <c r="BB84" s="64"/>
      <c r="BC84" s="1239"/>
    </row>
    <row r="85" spans="5:55">
      <c r="AW85" t="s">
        <v>2096</v>
      </c>
    </row>
    <row r="86" spans="5:55">
      <c r="I86">
        <v>4.5</v>
      </c>
      <c r="N86">
        <f>52*0.045</f>
        <v>2.34</v>
      </c>
      <c r="AW86" t="s">
        <v>1313</v>
      </c>
    </row>
    <row r="87" spans="5:55">
      <c r="I87">
        <v>15</v>
      </c>
      <c r="N87">
        <f>20.5*0.15</f>
        <v>3.0749999999999997</v>
      </c>
    </row>
    <row r="88" spans="5:55">
      <c r="I88" s="13">
        <f>+N88/72.5</f>
        <v>7.4689655172413785E-2</v>
      </c>
      <c r="J88" s="13"/>
      <c r="N88">
        <f>SUM(N86:N87)</f>
        <v>5.4149999999999991</v>
      </c>
    </row>
    <row r="89" spans="5:55">
      <c r="AW89" s="11" t="s">
        <v>1943</v>
      </c>
      <c r="AY89" s="40" t="s">
        <v>19</v>
      </c>
    </row>
    <row r="90" spans="5:55">
      <c r="AW90" s="282" t="s">
        <v>2334</v>
      </c>
      <c r="AX90" s="151" t="s">
        <v>1941</v>
      </c>
      <c r="AY90" s="51" t="s">
        <v>1942</v>
      </c>
    </row>
    <row r="91" spans="5:55">
      <c r="AX91" s="101" t="s">
        <v>1156</v>
      </c>
      <c r="AY91" s="41" t="s">
        <v>970</v>
      </c>
    </row>
    <row r="92" spans="5:55">
      <c r="F92" s="11" t="s">
        <v>1943</v>
      </c>
      <c r="G92" s="42"/>
      <c r="H92" s="40" t="s">
        <v>19</v>
      </c>
      <c r="I92" s="11"/>
      <c r="J92" s="11"/>
      <c r="AW92" s="45">
        <v>2023</v>
      </c>
      <c r="AX92" s="869">
        <v>0.93200000000000005</v>
      </c>
      <c r="AY92" s="869">
        <v>0.104</v>
      </c>
    </row>
    <row r="93" spans="5:55">
      <c r="F93" s="282" t="s">
        <v>2069</v>
      </c>
      <c r="G93" s="40" t="s">
        <v>1941</v>
      </c>
      <c r="H93" s="72" t="s">
        <v>1942</v>
      </c>
      <c r="I93" s="42"/>
      <c r="M93" s="40"/>
      <c r="AW93" s="45">
        <v>2024</v>
      </c>
      <c r="AX93" s="869">
        <v>0.92700000000000005</v>
      </c>
      <c r="AY93" s="869">
        <v>7.8E-2</v>
      </c>
    </row>
    <row r="94" spans="5:55">
      <c r="G94" s="41" t="s">
        <v>1156</v>
      </c>
      <c r="H94" s="114" t="s">
        <v>970</v>
      </c>
      <c r="I94" s="42"/>
      <c r="M94" s="41" t="s">
        <v>1689</v>
      </c>
      <c r="AW94" s="45">
        <v>2025</v>
      </c>
      <c r="AX94" s="869">
        <v>0.93</v>
      </c>
      <c r="AY94" s="869">
        <v>0.11799999999999999</v>
      </c>
    </row>
    <row r="95" spans="5:55">
      <c r="F95" s="45">
        <v>2023</v>
      </c>
      <c r="G95" s="83">
        <v>0.93200000000000005</v>
      </c>
      <c r="H95" s="83">
        <v>0.104</v>
      </c>
      <c r="I95" s="1768"/>
      <c r="M95" s="264">
        <v>0.2</v>
      </c>
      <c r="AW95" s="981" t="s">
        <v>2213</v>
      </c>
      <c r="AX95" s="831">
        <f>(+AX92+AX93+AX94)/3</f>
        <v>0.92966666666666675</v>
      </c>
      <c r="AY95" s="831">
        <f>(+AY92+AY93+AY94)/3</f>
        <v>9.9999999999999992E-2</v>
      </c>
    </row>
    <row r="96" spans="5:55">
      <c r="F96" s="45">
        <v>2024</v>
      </c>
      <c r="G96" s="1249">
        <v>0.92700000000000005</v>
      </c>
      <c r="H96" s="1249">
        <v>7.8E-2</v>
      </c>
      <c r="I96" s="37"/>
      <c r="M96" s="1469">
        <v>0.15</v>
      </c>
      <c r="AW96" s="763" t="s">
        <v>2068</v>
      </c>
      <c r="AX96" s="979">
        <v>0.93500000000000005</v>
      </c>
      <c r="AY96" s="979">
        <v>8.5000000000000006E-2</v>
      </c>
    </row>
    <row r="97" spans="6:51">
      <c r="F97" s="742" t="s">
        <v>1061</v>
      </c>
      <c r="G97" s="809">
        <v>0.94</v>
      </c>
      <c r="H97" s="809">
        <v>9.9000000000000005E-2</v>
      </c>
      <c r="I97" s="37"/>
      <c r="M97" s="788">
        <v>0.15</v>
      </c>
      <c r="AW97" s="746" t="s">
        <v>2308</v>
      </c>
      <c r="AX97" s="1250">
        <v>0.93500000000000005</v>
      </c>
      <c r="AY97" s="1250">
        <v>8.3000000000000004E-2</v>
      </c>
    </row>
    <row r="98" spans="6:51">
      <c r="F98" s="763" t="s">
        <v>2068</v>
      </c>
      <c r="G98" s="979">
        <v>0.93500000000000005</v>
      </c>
      <c r="H98" s="979">
        <v>7.6999999999999999E-2</v>
      </c>
    </row>
    <row r="99" spans="6:51" ht="5" customHeight="1"/>
    <row r="100" spans="6:51">
      <c r="F100" s="45" t="s">
        <v>2095</v>
      </c>
      <c r="G100" s="869">
        <f>SUM(G95+G96+G97+G98)/4</f>
        <v>0.9335</v>
      </c>
      <c r="H100" s="869">
        <f>SUM(H95+H96+H97+H98)/4</f>
        <v>8.950000000000001E-2</v>
      </c>
    </row>
  </sheetData>
  <mergeCells count="3">
    <mergeCell ref="AW13:AZ13"/>
    <mergeCell ref="AM52:AN52"/>
    <mergeCell ref="AQ13:AU13"/>
  </mergeCells>
  <phoneticPr fontId="16" type="noConversion"/>
  <printOptions horizontalCentered="1" gridLines="1"/>
  <pageMargins left="0.7" right="0.7" top="0.75" bottom="0.75" header="0.3" footer="0.3"/>
  <pageSetup scale="95" orientation="landscape" horizontalDpi="4294967292" verticalDpi="4294967292"/>
  <ignoredErrors>
    <ignoredError sqref="AY12 AV8:AV9 AC26" formula="1"/>
    <ignoredError sqref="AS53 AW65:AY65 AX8:AY8 AQ65:AU65 N15 AG15" formulaRange="1"/>
  </ignoredError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3:AD264"/>
  <sheetViews>
    <sheetView workbookViewId="0">
      <selection activeCell="B1" sqref="B1"/>
    </sheetView>
  </sheetViews>
  <sheetFormatPr baseColWidth="10" defaultRowHeight="16"/>
  <cols>
    <col min="2" max="2" width="8.5" customWidth="1"/>
    <col min="3" max="3" width="6.83203125" customWidth="1"/>
    <col min="4" max="4" width="7.83203125" customWidth="1"/>
    <col min="5" max="5" width="7.33203125" customWidth="1"/>
    <col min="6" max="6" width="6.83203125" customWidth="1"/>
    <col min="7" max="7" width="1.33203125" customWidth="1"/>
    <col min="8" max="9" width="6.83203125" customWidth="1"/>
    <col min="10" max="10" width="1.1640625" customWidth="1"/>
    <col min="11" max="11" width="6.6640625" customWidth="1"/>
    <col min="12" max="12" width="7.33203125" customWidth="1"/>
    <col min="13" max="13" width="6.6640625" customWidth="1"/>
    <col min="14" max="14" width="1.33203125" customWidth="1"/>
    <col min="15" max="15" width="6.1640625" customWidth="1"/>
    <col min="16" max="16" width="4.6640625" customWidth="1"/>
    <col min="17" max="17" width="7" customWidth="1"/>
    <col min="19" max="19" width="5.1640625" customWidth="1"/>
    <col min="20" max="20" width="12.83203125" customWidth="1"/>
    <col min="21" max="27" width="8.33203125" customWidth="1"/>
    <col min="28" max="28" width="6.5" customWidth="1"/>
  </cols>
  <sheetData>
    <row r="3" spans="1:30">
      <c r="AC3" s="11" t="s">
        <v>1770</v>
      </c>
    </row>
    <row r="4" spans="1:30">
      <c r="B4" s="11" t="s">
        <v>1086</v>
      </c>
      <c r="K4" t="s">
        <v>2307</v>
      </c>
      <c r="O4" s="502" t="s">
        <v>1302</v>
      </c>
      <c r="AC4" s="282" t="s">
        <v>1771</v>
      </c>
    </row>
    <row r="5" spans="1:30">
      <c r="C5" s="2071" t="s">
        <v>1250</v>
      </c>
      <c r="D5" s="2077"/>
      <c r="E5" s="2077"/>
      <c r="F5" s="2072"/>
      <c r="G5" s="42"/>
      <c r="H5" s="2071" t="s">
        <v>1309</v>
      </c>
      <c r="I5" s="2072"/>
      <c r="J5" s="566"/>
      <c r="K5" s="583"/>
      <c r="L5" s="2071" t="s">
        <v>1304</v>
      </c>
      <c r="M5" s="2072"/>
      <c r="N5" s="42"/>
      <c r="O5" s="503" t="s">
        <v>1666</v>
      </c>
      <c r="Q5" s="502" t="s">
        <v>171</v>
      </c>
      <c r="S5" s="340">
        <f>+C14-C8</f>
        <v>14.21</v>
      </c>
      <c r="T5" s="492">
        <f>+S5/C8</f>
        <v>1.7564894932014834</v>
      </c>
      <c r="AD5" s="583"/>
    </row>
    <row r="6" spans="1:30">
      <c r="C6" s="502"/>
      <c r="D6" s="502" t="s">
        <v>1083</v>
      </c>
      <c r="E6" s="502" t="s">
        <v>826</v>
      </c>
      <c r="F6" s="502" t="s">
        <v>1083</v>
      </c>
      <c r="G6" s="566"/>
      <c r="H6" s="502"/>
      <c r="I6" s="502" t="s">
        <v>1083</v>
      </c>
      <c r="J6" s="566"/>
      <c r="K6" s="567" t="s">
        <v>122</v>
      </c>
      <c r="L6" s="971" t="s">
        <v>825</v>
      </c>
      <c r="M6" s="502" t="s">
        <v>826</v>
      </c>
      <c r="N6" s="501"/>
      <c r="O6" s="503" t="s">
        <v>170</v>
      </c>
      <c r="Q6" s="503" t="s">
        <v>170</v>
      </c>
      <c r="S6" s="53">
        <f>+E14-E8</f>
        <v>606.86509484792748</v>
      </c>
      <c r="T6" s="492">
        <f>+S6/E8</f>
        <v>1.7328286391825867</v>
      </c>
      <c r="Y6" s="502" t="s">
        <v>826</v>
      </c>
      <c r="AD6" s="567" t="s">
        <v>122</v>
      </c>
    </row>
    <row r="7" spans="1:30">
      <c r="C7" s="504" t="s">
        <v>2002</v>
      </c>
      <c r="D7" s="504" t="s">
        <v>16</v>
      </c>
      <c r="E7" s="504" t="s">
        <v>170</v>
      </c>
      <c r="F7" s="504" t="s">
        <v>16</v>
      </c>
      <c r="G7" s="566"/>
      <c r="H7" s="504" t="s">
        <v>2002</v>
      </c>
      <c r="I7" s="504" t="s">
        <v>16</v>
      </c>
      <c r="J7" s="566"/>
      <c r="K7" s="1088" t="s">
        <v>39</v>
      </c>
      <c r="L7" s="971" t="s">
        <v>1507</v>
      </c>
      <c r="M7" s="504" t="s">
        <v>170</v>
      </c>
      <c r="N7" s="501"/>
      <c r="O7" s="504" t="s">
        <v>1665</v>
      </c>
      <c r="Q7" s="503" t="s">
        <v>45</v>
      </c>
      <c r="Y7" s="504" t="s">
        <v>170</v>
      </c>
      <c r="AD7" s="1088" t="s">
        <v>39</v>
      </c>
    </row>
    <row r="8" spans="1:30">
      <c r="B8" s="26">
        <v>2016</v>
      </c>
      <c r="C8" s="576">
        <v>8.09</v>
      </c>
      <c r="D8" s="209">
        <f>+(C8-C22)/C22</f>
        <v>7.5797872340425579E-2</v>
      </c>
      <c r="E8" s="571">
        <f t="shared" ref="E8:E17" si="0">+C8/O8*1000</f>
        <v>350.2164502164502</v>
      </c>
      <c r="F8" s="1892">
        <f>(+E8-E22)/E22</f>
        <v>3.3883669521967363E-2</v>
      </c>
      <c r="G8" s="581"/>
      <c r="H8" s="576">
        <v>7.86</v>
      </c>
      <c r="I8" s="209">
        <f>+(H8-H22)/H22</f>
        <v>6.6485753052917262E-2</v>
      </c>
      <c r="J8" s="547"/>
      <c r="K8" s="570">
        <v>92.5</v>
      </c>
      <c r="L8" s="318">
        <v>576</v>
      </c>
      <c r="M8" s="571">
        <f t="shared" ref="M8:M13" si="1">+L8/26</f>
        <v>22.153846153846153</v>
      </c>
      <c r="N8" s="53"/>
      <c r="O8" s="986">
        <v>23.1</v>
      </c>
      <c r="Q8" s="360">
        <v>487</v>
      </c>
      <c r="Y8" s="571">
        <f t="shared" ref="Y8:Y17" si="2">+H8/O8*1000</f>
        <v>340.25974025974028</v>
      </c>
      <c r="AC8" s="26">
        <v>2016</v>
      </c>
      <c r="AD8" s="1507">
        <v>92.5</v>
      </c>
    </row>
    <row r="9" spans="1:30">
      <c r="B9" s="26">
        <v>2017</v>
      </c>
      <c r="C9" s="576">
        <v>9.98</v>
      </c>
      <c r="D9" s="209">
        <f t="shared" ref="D9:D17" si="3">+(C9-C8)/C8</f>
        <v>0.23362175525339934</v>
      </c>
      <c r="E9" s="571">
        <f t="shared" si="0"/>
        <v>358.99280575539569</v>
      </c>
      <c r="F9" s="209">
        <f>(+E9-E8)/E8</f>
        <v>2.5059803825666371E-2</v>
      </c>
      <c r="G9" s="581"/>
      <c r="H9" s="576">
        <v>9.7200000000000006</v>
      </c>
      <c r="I9" s="209">
        <f t="shared" ref="I9:I17" si="4">+(H9-H8)/H8</f>
        <v>0.23664122137404583</v>
      </c>
      <c r="J9" s="547"/>
      <c r="K9" s="570">
        <v>106.6</v>
      </c>
      <c r="L9" s="318">
        <v>-641.5</v>
      </c>
      <c r="M9" s="571">
        <f t="shared" si="1"/>
        <v>-24.673076923076923</v>
      </c>
      <c r="N9" s="53"/>
      <c r="O9" s="565">
        <v>27.8</v>
      </c>
      <c r="Q9" s="360">
        <v>521</v>
      </c>
      <c r="Y9" s="571">
        <f t="shared" si="2"/>
        <v>349.64028776978415</v>
      </c>
      <c r="AC9" s="26">
        <v>2017</v>
      </c>
      <c r="AD9" s="1507">
        <v>106.6</v>
      </c>
    </row>
    <row r="10" spans="1:30">
      <c r="B10" s="26">
        <v>2018</v>
      </c>
      <c r="C10" s="576">
        <v>12.02</v>
      </c>
      <c r="D10" s="493">
        <f t="shared" si="3"/>
        <v>0.20440881763527044</v>
      </c>
      <c r="E10" s="571">
        <f t="shared" si="0"/>
        <v>441.91176470588232</v>
      </c>
      <c r="F10" s="209">
        <f t="shared" ref="F10:F18" si="5">(+E10-E9)/E9</f>
        <v>0.23097665920075433</v>
      </c>
      <c r="G10" s="581"/>
      <c r="H10" s="576">
        <v>11.91</v>
      </c>
      <c r="I10" s="493">
        <f t="shared" si="4"/>
        <v>0.22530864197530859</v>
      </c>
      <c r="J10" s="547"/>
      <c r="K10" s="570">
        <v>97.3</v>
      </c>
      <c r="L10" s="318">
        <v>318</v>
      </c>
      <c r="M10" s="571">
        <f t="shared" si="1"/>
        <v>12.23076923076923</v>
      </c>
      <c r="N10" s="53"/>
      <c r="O10" s="565">
        <v>27.2</v>
      </c>
      <c r="Q10" s="360">
        <v>445</v>
      </c>
      <c r="T10" s="40" t="s">
        <v>956</v>
      </c>
      <c r="U10" s="759" t="s">
        <v>1071</v>
      </c>
      <c r="V10" s="669"/>
      <c r="W10" s="40" t="s">
        <v>1072</v>
      </c>
      <c r="Y10" s="571">
        <f t="shared" si="2"/>
        <v>437.86764705882354</v>
      </c>
      <c r="AC10" s="26">
        <v>2018</v>
      </c>
      <c r="AD10" s="1507">
        <v>97.3</v>
      </c>
    </row>
    <row r="11" spans="1:30">
      <c r="B11" s="26">
        <v>2019</v>
      </c>
      <c r="C11" s="576">
        <v>13.26</v>
      </c>
      <c r="D11" s="209">
        <f t="shared" si="3"/>
        <v>0.1031613976705491</v>
      </c>
      <c r="E11" s="571">
        <f t="shared" si="0"/>
        <v>494.77611940298505</v>
      </c>
      <c r="F11" s="209">
        <f t="shared" si="5"/>
        <v>0.11962649315816924</v>
      </c>
      <c r="G11" s="581"/>
      <c r="H11" s="576">
        <v>12.54</v>
      </c>
      <c r="I11" s="209">
        <f t="shared" si="4"/>
        <v>5.289672544080596E-2</v>
      </c>
      <c r="J11" s="547"/>
      <c r="K11" s="570">
        <v>96.9</v>
      </c>
      <c r="L11" s="318">
        <v>394.5</v>
      </c>
      <c r="M11" s="571">
        <f t="shared" si="1"/>
        <v>15.173076923076923</v>
      </c>
      <c r="N11" s="53"/>
      <c r="O11" s="565">
        <v>26.8</v>
      </c>
      <c r="Q11" s="360">
        <v>473</v>
      </c>
      <c r="T11" s="51" t="s">
        <v>928</v>
      </c>
      <c r="U11" s="760" t="s">
        <v>956</v>
      </c>
      <c r="V11" s="669"/>
      <c r="W11" s="51" t="s">
        <v>1066</v>
      </c>
      <c r="Y11" s="571">
        <f t="shared" si="2"/>
        <v>467.91044776119401</v>
      </c>
      <c r="AC11" s="26">
        <v>2019</v>
      </c>
      <c r="AD11" s="1507">
        <v>96.9</v>
      </c>
    </row>
    <row r="12" spans="1:30">
      <c r="B12" s="26">
        <v>2020</v>
      </c>
      <c r="C12" s="576">
        <v>14.72</v>
      </c>
      <c r="D12" s="209">
        <f t="shared" si="3"/>
        <v>0.11010558069381605</v>
      </c>
      <c r="E12" s="571">
        <f t="shared" si="0"/>
        <v>561.83206106870227</v>
      </c>
      <c r="F12" s="209">
        <f t="shared" si="5"/>
        <v>0.13552784590054462</v>
      </c>
      <c r="G12" s="581"/>
      <c r="H12" s="576">
        <v>13.86</v>
      </c>
      <c r="I12" s="209">
        <f t="shared" si="4"/>
        <v>0.10526315789473688</v>
      </c>
      <c r="J12" s="547"/>
      <c r="K12" s="570">
        <v>97.8</v>
      </c>
      <c r="L12" s="318">
        <v>308</v>
      </c>
      <c r="M12" s="571">
        <f t="shared" si="1"/>
        <v>11.846153846153847</v>
      </c>
      <c r="N12" s="53"/>
      <c r="O12" s="565">
        <v>26.2</v>
      </c>
      <c r="Q12" s="360">
        <v>341</v>
      </c>
      <c r="T12" s="41" t="s">
        <v>957</v>
      </c>
      <c r="U12" s="760" t="s">
        <v>928</v>
      </c>
      <c r="V12" s="669"/>
      <c r="W12" s="41" t="s">
        <v>825</v>
      </c>
      <c r="Y12" s="571">
        <f t="shared" si="2"/>
        <v>529.00763358778624</v>
      </c>
      <c r="AC12" s="26">
        <v>2020</v>
      </c>
      <c r="AD12" s="1507">
        <v>97.8</v>
      </c>
    </row>
    <row r="13" spans="1:30">
      <c r="B13" s="26">
        <v>2021</v>
      </c>
      <c r="C13" s="576">
        <v>17.809999999999999</v>
      </c>
      <c r="D13" s="209">
        <f t="shared" si="3"/>
        <v>0.20991847826086943</v>
      </c>
      <c r="E13" s="571">
        <f t="shared" si="0"/>
        <v>745.18828451882848</v>
      </c>
      <c r="F13" s="209">
        <f t="shared" si="5"/>
        <v>0.3263541477169366</v>
      </c>
      <c r="G13" s="581"/>
      <c r="H13" s="576">
        <v>15.5</v>
      </c>
      <c r="I13" s="209">
        <f t="shared" si="4"/>
        <v>0.11832611832611838</v>
      </c>
      <c r="J13" s="547"/>
      <c r="K13" s="983">
        <v>95</v>
      </c>
      <c r="L13" s="318">
        <v>801</v>
      </c>
      <c r="M13" s="571">
        <f t="shared" si="1"/>
        <v>30.807692307692307</v>
      </c>
      <c r="N13" s="53"/>
      <c r="O13" s="564">
        <v>23.9</v>
      </c>
      <c r="Q13" s="360">
        <v>492</v>
      </c>
      <c r="T13" s="39" t="s">
        <v>1007</v>
      </c>
      <c r="U13" s="760" t="s">
        <v>957</v>
      </c>
      <c r="V13" s="758" t="s">
        <v>122</v>
      </c>
      <c r="W13" s="39" t="s">
        <v>54</v>
      </c>
      <c r="Y13" s="571">
        <f t="shared" si="2"/>
        <v>648.53556485355659</v>
      </c>
      <c r="AC13" s="26">
        <v>2021</v>
      </c>
      <c r="AD13" s="1508">
        <v>95</v>
      </c>
    </row>
    <row r="14" spans="1:30">
      <c r="B14" s="26">
        <v>2022</v>
      </c>
      <c r="C14" s="576">
        <v>22.3</v>
      </c>
      <c r="D14" s="631">
        <f t="shared" si="3"/>
        <v>0.25210555867490186</v>
      </c>
      <c r="E14" s="571">
        <f t="shared" si="0"/>
        <v>957.08154506437768</v>
      </c>
      <c r="F14" s="209">
        <f t="shared" si="5"/>
        <v>0.28434862027168029</v>
      </c>
      <c r="G14" s="581"/>
      <c r="H14" s="576">
        <v>21</v>
      </c>
      <c r="I14" s="209">
        <f t="shared" si="4"/>
        <v>0.35483870967741937</v>
      </c>
      <c r="J14" s="547"/>
      <c r="K14" s="570">
        <v>94.7</v>
      </c>
      <c r="L14" s="318">
        <v>1105</v>
      </c>
      <c r="M14" s="571">
        <f t="shared" ref="M14:M19" si="6">+L14/O14</f>
        <v>47.42489270386266</v>
      </c>
      <c r="N14" s="53"/>
      <c r="O14" s="564">
        <v>23.3</v>
      </c>
      <c r="Q14" s="360">
        <v>594</v>
      </c>
      <c r="S14" s="45">
        <v>2022</v>
      </c>
      <c r="T14" s="601">
        <f>+C178</f>
        <v>22.3</v>
      </c>
      <c r="U14" s="761">
        <v>0.25</v>
      </c>
      <c r="V14" s="45">
        <v>94.7</v>
      </c>
      <c r="W14" s="324">
        <f>+L178</f>
        <v>1105</v>
      </c>
      <c r="Y14" s="571">
        <f t="shared" si="2"/>
        <v>901.28755364806864</v>
      </c>
      <c r="AC14" s="26">
        <v>2022</v>
      </c>
      <c r="AD14" s="1507">
        <v>94.7</v>
      </c>
    </row>
    <row r="15" spans="1:30">
      <c r="A15" s="36"/>
      <c r="B15" s="26">
        <v>2023</v>
      </c>
      <c r="C15" s="576">
        <v>22.7</v>
      </c>
      <c r="D15" s="631">
        <f t="shared" si="3"/>
        <v>1.7937219730941641E-2</v>
      </c>
      <c r="E15" s="571">
        <f t="shared" si="0"/>
        <v>986.95652173913038</v>
      </c>
      <c r="F15" s="209">
        <f t="shared" si="5"/>
        <v>3.1214661727432196E-2</v>
      </c>
      <c r="G15" s="581"/>
      <c r="H15" s="576">
        <v>22.2</v>
      </c>
      <c r="I15" s="631">
        <f t="shared" si="4"/>
        <v>5.7142857142857106E-2</v>
      </c>
      <c r="J15" s="547"/>
      <c r="K15" s="983">
        <v>93.2</v>
      </c>
      <c r="L15" s="318">
        <v>1522.2</v>
      </c>
      <c r="M15" s="571">
        <f t="shared" si="6"/>
        <v>66.182608695652178</v>
      </c>
      <c r="N15" s="53"/>
      <c r="O15" s="564">
        <v>23</v>
      </c>
      <c r="Q15" s="46"/>
      <c r="S15" s="560" t="s">
        <v>815</v>
      </c>
      <c r="T15" s="600">
        <f>+C177</f>
        <v>22.9</v>
      </c>
      <c r="U15" s="1089">
        <v>0.08</v>
      </c>
      <c r="V15" s="560">
        <f>+K177</f>
        <v>93.2</v>
      </c>
      <c r="W15" s="705">
        <f>+L177</f>
        <v>1258.95</v>
      </c>
      <c r="Y15" s="569">
        <f t="shared" si="2"/>
        <v>965.21739130434776</v>
      </c>
      <c r="AC15" s="26">
        <v>2023</v>
      </c>
      <c r="AD15" s="1508">
        <v>93.2</v>
      </c>
    </row>
    <row r="16" spans="1:30">
      <c r="B16" s="26">
        <v>2024</v>
      </c>
      <c r="C16" s="576">
        <v>25.3</v>
      </c>
      <c r="D16" s="631">
        <f t="shared" si="3"/>
        <v>0.11453744493392078</v>
      </c>
      <c r="E16" s="571">
        <f t="shared" si="0"/>
        <v>1165.8986175115208</v>
      </c>
      <c r="F16" s="209">
        <f t="shared" si="5"/>
        <v>0.18130696928480086</v>
      </c>
      <c r="G16" s="581"/>
      <c r="H16" s="576">
        <v>24.6</v>
      </c>
      <c r="I16" s="631">
        <f t="shared" si="4"/>
        <v>0.10810810810810821</v>
      </c>
      <c r="J16" s="547"/>
      <c r="K16" s="983">
        <v>92.7</v>
      </c>
      <c r="L16" s="318">
        <v>1791.4</v>
      </c>
      <c r="M16" s="571">
        <f t="shared" si="6"/>
        <v>82.552995391705082</v>
      </c>
      <c r="N16" s="53"/>
      <c r="O16" s="564">
        <v>21.7</v>
      </c>
      <c r="Q16" s="46"/>
      <c r="S16" s="746" t="s">
        <v>1060</v>
      </c>
      <c r="T16" s="772">
        <f>+C176</f>
        <v>25.419</v>
      </c>
      <c r="U16" s="766">
        <v>0.12</v>
      </c>
      <c r="V16" s="746">
        <f>+K176</f>
        <v>95</v>
      </c>
      <c r="W16" s="769">
        <f>+L176</f>
        <v>1270.3950000000002</v>
      </c>
      <c r="Y16" s="733">
        <f t="shared" si="2"/>
        <v>1133.640552995392</v>
      </c>
      <c r="AC16" s="730" t="s">
        <v>1060</v>
      </c>
      <c r="AD16" s="1503">
        <v>94</v>
      </c>
    </row>
    <row r="17" spans="2:30">
      <c r="B17" s="26">
        <v>2025</v>
      </c>
      <c r="C17" s="576">
        <v>26.329000000000001</v>
      </c>
      <c r="D17" s="631">
        <f t="shared" si="3"/>
        <v>4.0671936758893273E-2</v>
      </c>
      <c r="E17" s="571">
        <f t="shared" si="0"/>
        <v>1262.4184886843116</v>
      </c>
      <c r="F17" s="631">
        <f t="shared" si="5"/>
        <v>8.2785818357690111E-2</v>
      </c>
      <c r="G17" s="581"/>
      <c r="H17" s="736">
        <v>25.9</v>
      </c>
      <c r="I17" s="737">
        <f t="shared" si="4"/>
        <v>5.2845528455284431E-2</v>
      </c>
      <c r="J17" s="547"/>
      <c r="K17" s="983">
        <v>93</v>
      </c>
      <c r="L17" s="318">
        <f>+H17*0.07*1000</f>
        <v>1813.0000000000002</v>
      </c>
      <c r="M17" s="571">
        <f t="shared" si="6"/>
        <v>86.929420790180288</v>
      </c>
      <c r="N17" s="53"/>
      <c r="O17" s="564">
        <v>20.856000000000002</v>
      </c>
      <c r="Q17" s="46"/>
      <c r="S17" s="742" t="s">
        <v>1061</v>
      </c>
      <c r="T17" s="743">
        <f>+C175</f>
        <v>26.181570000000001</v>
      </c>
      <c r="U17" s="767">
        <v>0.03</v>
      </c>
      <c r="V17" s="742">
        <f>+K175</f>
        <v>95.5</v>
      </c>
      <c r="W17" s="770">
        <f>+L175</f>
        <v>1189.0897199999999</v>
      </c>
      <c r="Y17" s="738">
        <f t="shared" si="2"/>
        <v>1241.8488684311469</v>
      </c>
      <c r="AC17" s="735" t="s">
        <v>1061</v>
      </c>
      <c r="AD17" s="1509">
        <v>94.5</v>
      </c>
    </row>
    <row r="18" spans="2:30">
      <c r="B18" s="1724" t="s">
        <v>2068</v>
      </c>
      <c r="C18" s="1725">
        <f>+C17*(1+D18)</f>
        <v>26.85558</v>
      </c>
      <c r="D18" s="1330">
        <v>0.02</v>
      </c>
      <c r="E18" s="1505">
        <f t="shared" ref="E18" si="7">+C18/O18*1000</f>
        <v>1329.4841584158416</v>
      </c>
      <c r="F18" s="1330">
        <f t="shared" si="5"/>
        <v>5.3124752475247491E-2</v>
      </c>
      <c r="G18" s="581"/>
      <c r="H18" s="1725">
        <f>+H17*(1+I18)</f>
        <v>26.677</v>
      </c>
      <c r="I18" s="1330">
        <v>0.03</v>
      </c>
      <c r="J18" s="547"/>
      <c r="K18" s="1726">
        <v>93.5</v>
      </c>
      <c r="L18" s="765">
        <f>+H18*0.065*1000</f>
        <v>1734.0050000000001</v>
      </c>
      <c r="M18" s="1505">
        <f t="shared" si="6"/>
        <v>85.841831683168323</v>
      </c>
      <c r="N18" s="53"/>
      <c r="O18" s="1727">
        <v>20.2</v>
      </c>
      <c r="Q18" s="46"/>
    </row>
    <row r="19" spans="2:30">
      <c r="B19" s="730" t="s">
        <v>2308</v>
      </c>
      <c r="C19" s="731">
        <f>+C18*(1+D19)</f>
        <v>27.392691599999999</v>
      </c>
      <c r="D19" s="732">
        <v>0.02</v>
      </c>
      <c r="E19" s="733">
        <f t="shared" ref="E19" si="8">+C19/O19*1000</f>
        <v>1397.5863061224488</v>
      </c>
      <c r="F19" s="732">
        <f t="shared" ref="F19" si="9">(+E19-E18)/E18</f>
        <v>5.1224489795918204E-2</v>
      </c>
      <c r="G19" s="581"/>
      <c r="H19" s="731">
        <f>+H18*(1+I19)</f>
        <v>27.210540000000002</v>
      </c>
      <c r="I19" s="732">
        <v>0.02</v>
      </c>
      <c r="J19" s="547"/>
      <c r="K19" s="982">
        <v>93.5</v>
      </c>
      <c r="L19" s="719">
        <f>+H19*0.065*1000</f>
        <v>1768.6851000000001</v>
      </c>
      <c r="M19" s="733">
        <f t="shared" si="6"/>
        <v>90.23903571428572</v>
      </c>
      <c r="N19" s="53"/>
      <c r="O19" s="734">
        <v>19.600000000000001</v>
      </c>
      <c r="Q19" s="46"/>
    </row>
    <row r="21" spans="2:30">
      <c r="B21" s="26">
        <v>2014</v>
      </c>
      <c r="C21" s="577">
        <v>6.12</v>
      </c>
      <c r="D21" s="578"/>
      <c r="E21" s="574">
        <f>+C21/O21*1000</f>
        <v>288.67924528301887</v>
      </c>
      <c r="F21" s="589"/>
      <c r="G21" s="581"/>
      <c r="H21" s="577">
        <v>5.98</v>
      </c>
      <c r="I21" s="1095"/>
      <c r="J21" s="1094"/>
      <c r="K21" s="572">
        <v>90.8</v>
      </c>
      <c r="L21" s="573">
        <v>552</v>
      </c>
      <c r="M21" s="574">
        <f t="shared" ref="M21" si="10">+L21/26</f>
        <v>21.23076923076923</v>
      </c>
      <c r="N21" s="53"/>
      <c r="O21" s="986">
        <v>21.2</v>
      </c>
      <c r="Q21" s="360">
        <v>511</v>
      </c>
      <c r="T21" s="53">
        <f>+E9</f>
        <v>358.99280575539569</v>
      </c>
      <c r="Y21" s="574">
        <f>+H21/O21*1000</f>
        <v>282.07547169811323</v>
      </c>
    </row>
    <row r="22" spans="2:30">
      <c r="B22" s="26">
        <v>2015</v>
      </c>
      <c r="C22" s="576">
        <v>7.52</v>
      </c>
      <c r="D22" s="209">
        <f>+(C22-C21)/C21</f>
        <v>0.22875816993464043</v>
      </c>
      <c r="E22" s="571">
        <f>+C22/O22*1000</f>
        <v>338.73873873873873</v>
      </c>
      <c r="F22" s="589"/>
      <c r="G22" s="581"/>
      <c r="H22" s="576">
        <v>7.37</v>
      </c>
      <c r="I22" s="209">
        <f>+(H22-H21)/H21</f>
        <v>0.23244147157190628</v>
      </c>
      <c r="J22" s="547"/>
      <c r="K22" s="570">
        <v>89.9</v>
      </c>
      <c r="L22" s="318">
        <v>705</v>
      </c>
      <c r="M22" s="571">
        <f>+L22/26</f>
        <v>27.115384615384617</v>
      </c>
      <c r="N22" s="53"/>
      <c r="O22" s="565">
        <v>22.2</v>
      </c>
      <c r="Q22" s="360">
        <v>471</v>
      </c>
      <c r="T22" s="53">
        <f>+E17</f>
        <v>1262.4184886843116</v>
      </c>
      <c r="Y22" s="571">
        <f>+H22/O22*1000</f>
        <v>331.98198198198196</v>
      </c>
    </row>
    <row r="23" spans="2:30">
      <c r="T23" s="53">
        <f>+T22-T21</f>
        <v>903.42568292891588</v>
      </c>
    </row>
    <row r="24" spans="2:30">
      <c r="T24" s="636">
        <f>+T23/T21</f>
        <v>2.5165565115655171</v>
      </c>
    </row>
    <row r="26" spans="2:30">
      <c r="B26" s="11" t="s">
        <v>1086</v>
      </c>
      <c r="K26" t="s">
        <v>2208</v>
      </c>
      <c r="O26" s="502" t="s">
        <v>1302</v>
      </c>
    </row>
    <row r="27" spans="2:30">
      <c r="C27" s="2071" t="s">
        <v>1250</v>
      </c>
      <c r="D27" s="2077"/>
      <c r="E27" s="2077"/>
      <c r="F27" s="2072"/>
      <c r="G27" s="42"/>
      <c r="H27" s="2071" t="s">
        <v>1309</v>
      </c>
      <c r="I27" s="2072"/>
      <c r="J27" s="566"/>
      <c r="K27" s="583"/>
      <c r="L27" s="2071" t="s">
        <v>1304</v>
      </c>
      <c r="M27" s="2072"/>
      <c r="N27" s="42"/>
      <c r="O27" s="503" t="s">
        <v>1666</v>
      </c>
    </row>
    <row r="28" spans="2:30">
      <c r="C28" s="502"/>
      <c r="D28" s="502" t="s">
        <v>1083</v>
      </c>
      <c r="E28" s="502" t="s">
        <v>826</v>
      </c>
      <c r="F28" s="502" t="s">
        <v>1083</v>
      </c>
      <c r="G28" s="566"/>
      <c r="H28" s="502"/>
      <c r="I28" s="502" t="s">
        <v>1083</v>
      </c>
      <c r="J28" s="566"/>
      <c r="K28" s="567" t="s">
        <v>122</v>
      </c>
      <c r="L28" s="971" t="s">
        <v>825</v>
      </c>
      <c r="M28" s="502" t="s">
        <v>826</v>
      </c>
      <c r="N28" s="501"/>
      <c r="O28" s="503" t="s">
        <v>170</v>
      </c>
    </row>
    <row r="29" spans="2:30">
      <c r="C29" s="504" t="s">
        <v>2002</v>
      </c>
      <c r="D29" s="504" t="s">
        <v>16</v>
      </c>
      <c r="E29" s="504" t="s">
        <v>170</v>
      </c>
      <c r="F29" s="504" t="s">
        <v>16</v>
      </c>
      <c r="G29" s="566"/>
      <c r="H29" s="504" t="s">
        <v>2002</v>
      </c>
      <c r="I29" s="504" t="s">
        <v>16</v>
      </c>
      <c r="J29" s="566"/>
      <c r="K29" s="1088" t="s">
        <v>39</v>
      </c>
      <c r="L29" s="971" t="s">
        <v>1507</v>
      </c>
      <c r="M29" s="504" t="s">
        <v>170</v>
      </c>
      <c r="N29" s="501"/>
      <c r="O29" s="504" t="s">
        <v>1665</v>
      </c>
    </row>
    <row r="30" spans="2:30" hidden="1">
      <c r="B30" s="26">
        <v>2016</v>
      </c>
      <c r="C30" s="576">
        <v>8.09</v>
      </c>
      <c r="D30" s="209">
        <f>+(C30-C43)/C43</f>
        <v>7.5797872340425579E-2</v>
      </c>
      <c r="E30" s="571">
        <f t="shared" ref="E30:E40" si="11">+C30/O30*1000</f>
        <v>350.2164502164502</v>
      </c>
      <c r="F30" s="1892">
        <f>(+E30-E43)/E43</f>
        <v>3.3883669521967363E-2</v>
      </c>
      <c r="G30" s="581"/>
      <c r="H30" s="576">
        <v>7.86</v>
      </c>
      <c r="I30" s="209">
        <f>+(H30-H43)/H43</f>
        <v>6.6485753052917262E-2</v>
      </c>
      <c r="J30" s="547"/>
      <c r="K30" s="570">
        <v>92.5</v>
      </c>
      <c r="L30" s="318">
        <v>576</v>
      </c>
      <c r="M30" s="571">
        <f t="shared" ref="M30:M35" si="12">+L30/26</f>
        <v>22.153846153846153</v>
      </c>
      <c r="N30" s="53"/>
      <c r="O30" s="986">
        <v>23.1</v>
      </c>
    </row>
    <row r="31" spans="2:30" hidden="1">
      <c r="B31" s="26">
        <v>2017</v>
      </c>
      <c r="C31" s="576">
        <v>9.98</v>
      </c>
      <c r="D31" s="209">
        <f t="shared" ref="D31:D37" si="13">+(C31-C30)/C30</f>
        <v>0.23362175525339934</v>
      </c>
      <c r="E31" s="571">
        <f t="shared" si="11"/>
        <v>358.99280575539569</v>
      </c>
      <c r="F31" s="209">
        <f>(+E31-E30)/E30</f>
        <v>2.5059803825666371E-2</v>
      </c>
      <c r="G31" s="581"/>
      <c r="H31" s="576">
        <v>9.7200000000000006</v>
      </c>
      <c r="I31" s="209">
        <f t="shared" ref="I31:I37" si="14">+(H31-H30)/H30</f>
        <v>0.23664122137404583</v>
      </c>
      <c r="J31" s="547"/>
      <c r="K31" s="570">
        <v>106.6</v>
      </c>
      <c r="L31" s="318">
        <v>-641.5</v>
      </c>
      <c r="M31" s="571">
        <f t="shared" si="12"/>
        <v>-24.673076923076923</v>
      </c>
      <c r="N31" s="53"/>
      <c r="O31" s="565">
        <v>27.8</v>
      </c>
    </row>
    <row r="32" spans="2:30" hidden="1">
      <c r="B32" s="26">
        <v>2018</v>
      </c>
      <c r="C32" s="576">
        <v>12.02</v>
      </c>
      <c r="D32" s="493">
        <f t="shared" si="13"/>
        <v>0.20440881763527044</v>
      </c>
      <c r="E32" s="571">
        <f t="shared" si="11"/>
        <v>441.91176470588232</v>
      </c>
      <c r="F32" s="209">
        <f t="shared" ref="F32:F40" si="15">(+E32-E31)/E31</f>
        <v>0.23097665920075433</v>
      </c>
      <c r="G32" s="581"/>
      <c r="H32" s="576">
        <v>11.91</v>
      </c>
      <c r="I32" s="493">
        <f t="shared" si="14"/>
        <v>0.22530864197530859</v>
      </c>
      <c r="J32" s="547"/>
      <c r="K32" s="570">
        <v>97.3</v>
      </c>
      <c r="L32" s="318">
        <v>318</v>
      </c>
      <c r="M32" s="571">
        <f t="shared" si="12"/>
        <v>12.23076923076923</v>
      </c>
      <c r="N32" s="53"/>
      <c r="O32" s="565">
        <v>27.2</v>
      </c>
    </row>
    <row r="33" spans="2:15">
      <c r="B33" s="26">
        <v>2019</v>
      </c>
      <c r="C33" s="576">
        <v>13.26</v>
      </c>
      <c r="D33" s="209">
        <f t="shared" si="13"/>
        <v>0.1031613976705491</v>
      </c>
      <c r="E33" s="571">
        <f t="shared" si="11"/>
        <v>494.77611940298505</v>
      </c>
      <c r="F33" s="209">
        <f t="shared" si="15"/>
        <v>0.11962649315816924</v>
      </c>
      <c r="G33" s="581"/>
      <c r="H33" s="576">
        <v>12.54</v>
      </c>
      <c r="I33" s="209">
        <f t="shared" si="14"/>
        <v>5.289672544080596E-2</v>
      </c>
      <c r="J33" s="547"/>
      <c r="K33" s="570">
        <v>96.9</v>
      </c>
      <c r="L33" s="318">
        <v>394.5</v>
      </c>
      <c r="M33" s="571">
        <f t="shared" si="12"/>
        <v>15.173076923076923</v>
      </c>
      <c r="N33" s="53"/>
      <c r="O33" s="565">
        <v>26.8</v>
      </c>
    </row>
    <row r="34" spans="2:15">
      <c r="B34" s="26">
        <v>2020</v>
      </c>
      <c r="C34" s="576">
        <v>14.72</v>
      </c>
      <c r="D34" s="209">
        <f t="shared" si="13"/>
        <v>0.11010558069381605</v>
      </c>
      <c r="E34" s="571">
        <f t="shared" si="11"/>
        <v>561.83206106870227</v>
      </c>
      <c r="F34" s="209">
        <f t="shared" si="15"/>
        <v>0.13552784590054462</v>
      </c>
      <c r="G34" s="581"/>
      <c r="H34" s="576">
        <v>13.86</v>
      </c>
      <c r="I34" s="209">
        <f t="shared" si="14"/>
        <v>0.10526315789473688</v>
      </c>
      <c r="J34" s="547"/>
      <c r="K34" s="570">
        <v>97.8</v>
      </c>
      <c r="L34" s="318">
        <v>308</v>
      </c>
      <c r="M34" s="571">
        <f t="shared" si="12"/>
        <v>11.846153846153847</v>
      </c>
      <c r="N34" s="53"/>
      <c r="O34" s="565">
        <v>26.2</v>
      </c>
    </row>
    <row r="35" spans="2:15">
      <c r="B35" s="26">
        <v>2021</v>
      </c>
      <c r="C35" s="576">
        <v>17.809999999999999</v>
      </c>
      <c r="D35" s="209">
        <f t="shared" si="13"/>
        <v>0.20991847826086943</v>
      </c>
      <c r="E35" s="571">
        <f t="shared" si="11"/>
        <v>745.18828451882848</v>
      </c>
      <c r="F35" s="209">
        <f t="shared" si="15"/>
        <v>0.3263541477169366</v>
      </c>
      <c r="G35" s="581"/>
      <c r="H35" s="576">
        <v>15.5</v>
      </c>
      <c r="I35" s="209">
        <f t="shared" si="14"/>
        <v>0.11832611832611838</v>
      </c>
      <c r="J35" s="547"/>
      <c r="K35" s="983">
        <v>95</v>
      </c>
      <c r="L35" s="318">
        <v>801</v>
      </c>
      <c r="M35" s="571">
        <f t="shared" si="12"/>
        <v>30.807692307692307</v>
      </c>
      <c r="N35" s="53"/>
      <c r="O35" s="564">
        <v>23.9</v>
      </c>
    </row>
    <row r="36" spans="2:15">
      <c r="B36" s="26">
        <v>2022</v>
      </c>
      <c r="C36" s="576">
        <v>22.3</v>
      </c>
      <c r="D36" s="631">
        <f t="shared" si="13"/>
        <v>0.25210555867490186</v>
      </c>
      <c r="E36" s="571">
        <f t="shared" si="11"/>
        <v>957.08154506437768</v>
      </c>
      <c r="F36" s="209">
        <f t="shared" si="15"/>
        <v>0.28434862027168029</v>
      </c>
      <c r="G36" s="581"/>
      <c r="H36" s="576">
        <v>21</v>
      </c>
      <c r="I36" s="209">
        <f t="shared" si="14"/>
        <v>0.35483870967741937</v>
      </c>
      <c r="J36" s="547"/>
      <c r="K36" s="570">
        <v>94.7</v>
      </c>
      <c r="L36" s="318">
        <v>1105</v>
      </c>
      <c r="M36" s="571">
        <f>+L36/O36</f>
        <v>47.42489270386266</v>
      </c>
      <c r="N36" s="53"/>
      <c r="O36" s="564">
        <v>23.3</v>
      </c>
    </row>
    <row r="37" spans="2:15">
      <c r="B37" s="26">
        <v>2023</v>
      </c>
      <c r="C37" s="576">
        <v>22.7</v>
      </c>
      <c r="D37" s="631">
        <f t="shared" si="13"/>
        <v>1.7937219730941641E-2</v>
      </c>
      <c r="E37" s="571">
        <f t="shared" si="11"/>
        <v>986.95652173913038</v>
      </c>
      <c r="F37" s="209">
        <f t="shared" si="15"/>
        <v>3.1214661727432196E-2</v>
      </c>
      <c r="G37" s="581"/>
      <c r="H37" s="576">
        <v>22.2</v>
      </c>
      <c r="I37" s="631">
        <f t="shared" si="14"/>
        <v>5.7142857142857106E-2</v>
      </c>
      <c r="J37" s="547"/>
      <c r="K37" s="983">
        <v>93.2</v>
      </c>
      <c r="L37" s="318">
        <v>1522.2</v>
      </c>
      <c r="M37" s="571">
        <f>+L37/O37</f>
        <v>66.182608695652178</v>
      </c>
      <c r="N37" s="53"/>
      <c r="O37" s="564">
        <v>23</v>
      </c>
    </row>
    <row r="38" spans="2:15">
      <c r="B38" s="26">
        <v>2024</v>
      </c>
      <c r="C38" s="576">
        <v>25.3</v>
      </c>
      <c r="D38" s="631">
        <v>0.11</v>
      </c>
      <c r="E38" s="571">
        <f t="shared" si="11"/>
        <v>1165.8986175115208</v>
      </c>
      <c r="F38" s="209">
        <f t="shared" si="15"/>
        <v>0.18130696928480086</v>
      </c>
      <c r="G38" s="581"/>
      <c r="H38" s="576">
        <v>24.6</v>
      </c>
      <c r="I38" s="631">
        <v>0.11</v>
      </c>
      <c r="J38" s="547"/>
      <c r="K38" s="983">
        <v>92.7</v>
      </c>
      <c r="L38" s="318">
        <v>1791.4</v>
      </c>
      <c r="M38" s="571">
        <f>+L38/O38</f>
        <v>82.552995391705082</v>
      </c>
      <c r="N38" s="53"/>
      <c r="O38" s="564">
        <v>21.7</v>
      </c>
    </row>
    <row r="39" spans="2:15">
      <c r="B39" s="735" t="s">
        <v>1061</v>
      </c>
      <c r="C39" s="736">
        <f>+C38*(1+D39)</f>
        <v>26.565000000000001</v>
      </c>
      <c r="D39" s="737">
        <v>0.05</v>
      </c>
      <c r="E39" s="738">
        <f t="shared" si="11"/>
        <v>1265.0000000000002</v>
      </c>
      <c r="F39" s="737">
        <f t="shared" si="15"/>
        <v>8.5000000000000145E-2</v>
      </c>
      <c r="G39" s="581"/>
      <c r="H39" s="736">
        <f>+H38*(1+I39)</f>
        <v>25.830000000000002</v>
      </c>
      <c r="I39" s="737">
        <v>0.05</v>
      </c>
      <c r="J39" s="547"/>
      <c r="K39" s="1230">
        <v>93.5</v>
      </c>
      <c r="L39" s="740">
        <f>+H39*0.065*1000</f>
        <v>1678.9500000000003</v>
      </c>
      <c r="M39" s="738">
        <f>+L39/O39</f>
        <v>79.950000000000017</v>
      </c>
      <c r="N39" s="53"/>
      <c r="O39" s="741">
        <v>21</v>
      </c>
    </row>
    <row r="40" spans="2:15">
      <c r="B40" s="1724" t="s">
        <v>2068</v>
      </c>
      <c r="C40" s="1725">
        <f>+C39*(1+D40)</f>
        <v>27.361950000000004</v>
      </c>
      <c r="D40" s="1330">
        <v>0.03</v>
      </c>
      <c r="E40" s="1505">
        <f t="shared" si="11"/>
        <v>1334.7292682926829</v>
      </c>
      <c r="F40" s="1330">
        <f t="shared" si="15"/>
        <v>5.5121951219512022E-2</v>
      </c>
      <c r="G40" s="581"/>
      <c r="H40" s="1725">
        <f>+H39*(1+I40)</f>
        <v>26.604900000000004</v>
      </c>
      <c r="I40" s="1330">
        <v>0.03</v>
      </c>
      <c r="J40" s="547"/>
      <c r="K40" s="1726">
        <v>93.5</v>
      </c>
      <c r="L40" s="765">
        <f>+H40*0.065*1000</f>
        <v>1729.3185000000003</v>
      </c>
      <c r="M40" s="1505">
        <f>+L40/O40</f>
        <v>84.357000000000014</v>
      </c>
      <c r="N40" s="53"/>
      <c r="O40" s="1727">
        <v>20.5</v>
      </c>
    </row>
    <row r="42" spans="2:15">
      <c r="B42" s="26">
        <v>2014</v>
      </c>
      <c r="C42" s="577">
        <v>6.12</v>
      </c>
      <c r="D42" s="578"/>
      <c r="E42" s="574">
        <f>+C42/O42*1000</f>
        <v>288.67924528301887</v>
      </c>
      <c r="F42" s="589"/>
      <c r="G42" s="581"/>
      <c r="H42" s="577">
        <v>5.98</v>
      </c>
      <c r="I42" s="1095"/>
      <c r="J42" s="1094"/>
      <c r="K42" s="572">
        <v>90.8</v>
      </c>
      <c r="L42" s="573">
        <v>552</v>
      </c>
      <c r="M42" s="574">
        <f t="shared" ref="M42" si="16">+L42/26</f>
        <v>21.23076923076923</v>
      </c>
      <c r="N42" s="53"/>
      <c r="O42" s="986">
        <v>21.2</v>
      </c>
    </row>
    <row r="43" spans="2:15">
      <c r="B43" s="26">
        <v>2015</v>
      </c>
      <c r="C43" s="576">
        <v>7.52</v>
      </c>
      <c r="D43" s="209">
        <f>+(C43-C42)/C42</f>
        <v>0.22875816993464043</v>
      </c>
      <c r="E43" s="571">
        <f>+C43/O43*1000</f>
        <v>338.73873873873873</v>
      </c>
      <c r="F43" s="589"/>
      <c r="G43" s="581"/>
      <c r="H43" s="576">
        <v>7.37</v>
      </c>
      <c r="I43" s="209">
        <f>+(H43-H42)/H42</f>
        <v>0.23244147157190628</v>
      </c>
      <c r="J43" s="547"/>
      <c r="K43" s="570">
        <v>89.9</v>
      </c>
      <c r="L43" s="318">
        <v>705</v>
      </c>
      <c r="M43" s="571">
        <f>+L43/26</f>
        <v>27.115384615384617</v>
      </c>
      <c r="N43" s="53"/>
      <c r="O43" s="565">
        <v>22.2</v>
      </c>
    </row>
    <row r="47" spans="2:15">
      <c r="B47" s="11" t="s">
        <v>2248</v>
      </c>
    </row>
    <row r="48" spans="2:15">
      <c r="C48" s="48" t="s">
        <v>1250</v>
      </c>
      <c r="D48" s="122"/>
      <c r="E48" s="122"/>
      <c r="F48" s="123"/>
    </row>
    <row r="49" spans="2:9">
      <c r="C49" s="502"/>
      <c r="D49" s="502" t="s">
        <v>1083</v>
      </c>
      <c r="E49" s="502" t="s">
        <v>826</v>
      </c>
      <c r="F49" s="502" t="s">
        <v>1083</v>
      </c>
    </row>
    <row r="50" spans="2:9">
      <c r="C50" s="504" t="s">
        <v>2002</v>
      </c>
      <c r="D50" s="504" t="s">
        <v>16</v>
      </c>
      <c r="E50" s="504" t="s">
        <v>170</v>
      </c>
      <c r="F50" s="504" t="s">
        <v>16</v>
      </c>
    </row>
    <row r="51" spans="2:9">
      <c r="B51" s="26">
        <v>2019</v>
      </c>
      <c r="C51" s="576">
        <v>13.26</v>
      </c>
      <c r="D51" s="1921" t="s">
        <v>40</v>
      </c>
      <c r="E51" s="571">
        <f t="shared" ref="E51:E57" si="17">+C51/I51*1000</f>
        <v>494.77611940298505</v>
      </c>
      <c r="F51" s="1921" t="s">
        <v>40</v>
      </c>
      <c r="I51" s="565">
        <v>26.8</v>
      </c>
    </row>
    <row r="52" spans="2:9">
      <c r="B52" s="26">
        <v>2020</v>
      </c>
      <c r="C52" s="576">
        <v>14.72</v>
      </c>
      <c r="D52" s="209">
        <f t="shared" ref="D52" si="18">+(C52-C51)/C51</f>
        <v>0.11010558069381605</v>
      </c>
      <c r="E52" s="571">
        <f t="shared" si="17"/>
        <v>561.83206106870227</v>
      </c>
      <c r="F52" s="209">
        <f t="shared" ref="F52" si="19">(+E52-E51)/E51</f>
        <v>0.13552784590054462</v>
      </c>
      <c r="I52" s="565">
        <v>26.2</v>
      </c>
    </row>
    <row r="53" spans="2:9">
      <c r="B53" s="26">
        <v>2021</v>
      </c>
      <c r="C53" s="576">
        <v>17.809999999999999</v>
      </c>
      <c r="D53" s="209">
        <f t="shared" ref="D53:D55" si="20">+(C53-C52)/C52</f>
        <v>0.20991847826086943</v>
      </c>
      <c r="E53" s="571">
        <f t="shared" si="17"/>
        <v>745.18828451882848</v>
      </c>
      <c r="F53" s="209">
        <f t="shared" ref="F53:F57" si="21">(+E53-E52)/E52</f>
        <v>0.3263541477169366</v>
      </c>
      <c r="I53" s="564">
        <v>23.9</v>
      </c>
    </row>
    <row r="54" spans="2:9">
      <c r="B54" s="26">
        <v>2022</v>
      </c>
      <c r="C54" s="576">
        <v>22.3</v>
      </c>
      <c r="D54" s="631">
        <f t="shared" si="20"/>
        <v>0.25210555867490186</v>
      </c>
      <c r="E54" s="571">
        <f t="shared" si="17"/>
        <v>957.08154506437768</v>
      </c>
      <c r="F54" s="209">
        <f t="shared" si="21"/>
        <v>0.28434862027168029</v>
      </c>
      <c r="I54" s="564">
        <v>23.3</v>
      </c>
    </row>
    <row r="55" spans="2:9">
      <c r="B55" s="26">
        <v>2023</v>
      </c>
      <c r="C55" s="576">
        <v>22.7</v>
      </c>
      <c r="D55" s="631">
        <f t="shared" si="20"/>
        <v>1.7937219730941641E-2</v>
      </c>
      <c r="E55" s="571">
        <f t="shared" si="17"/>
        <v>986.95652173913038</v>
      </c>
      <c r="F55" s="209">
        <f t="shared" si="21"/>
        <v>3.1214661727432196E-2</v>
      </c>
      <c r="I55" s="564">
        <v>23</v>
      </c>
    </row>
    <row r="56" spans="2:9">
      <c r="B56" s="26">
        <v>2024</v>
      </c>
      <c r="C56" s="576">
        <v>25.3</v>
      </c>
      <c r="D56" s="631">
        <v>0.11</v>
      </c>
      <c r="E56" s="571">
        <f t="shared" si="17"/>
        <v>1165.8986175115208</v>
      </c>
      <c r="F56" s="209">
        <f t="shared" si="21"/>
        <v>0.18130696928480086</v>
      </c>
      <c r="I56" s="564">
        <v>21.7</v>
      </c>
    </row>
    <row r="57" spans="2:9">
      <c r="B57" s="735" t="s">
        <v>1061</v>
      </c>
      <c r="C57" s="736">
        <f>+C56*(1+D57)</f>
        <v>26.565000000000001</v>
      </c>
      <c r="D57" s="737">
        <v>0.05</v>
      </c>
      <c r="E57" s="738">
        <f t="shared" si="17"/>
        <v>1265.0000000000002</v>
      </c>
      <c r="F57" s="737">
        <f t="shared" si="21"/>
        <v>8.5000000000000145E-2</v>
      </c>
      <c r="I57" s="741">
        <v>21</v>
      </c>
    </row>
    <row r="58" spans="2:9" ht="17" thickBot="1">
      <c r="B58" s="1399" t="s">
        <v>2246</v>
      </c>
      <c r="C58" s="1311">
        <f>+C57-C51</f>
        <v>13.305000000000001</v>
      </c>
      <c r="D58" s="1313">
        <f>+C58/C51</f>
        <v>1.0033936651583713</v>
      </c>
      <c r="E58" s="793">
        <f>+E57-E51</f>
        <v>770.22388059701518</v>
      </c>
      <c r="F58" s="1843">
        <f>+E58/E51</f>
        <v>1.5567119155354456</v>
      </c>
    </row>
    <row r="59" spans="2:9" ht="17" thickBot="1">
      <c r="B59" s="1366" t="s">
        <v>2247</v>
      </c>
      <c r="C59" s="797"/>
      <c r="D59" s="1277">
        <v>0.1225</v>
      </c>
      <c r="F59" s="1922">
        <v>0.16919999999999999</v>
      </c>
    </row>
    <row r="63" spans="2:9">
      <c r="B63" s="11" t="s">
        <v>2248</v>
      </c>
    </row>
    <row r="64" spans="2:9">
      <c r="C64" s="583"/>
      <c r="D64" s="2071" t="s">
        <v>1304</v>
      </c>
      <c r="E64" s="2072"/>
      <c r="F64" s="11"/>
    </row>
    <row r="65" spans="2:22">
      <c r="C65" s="567" t="s">
        <v>122</v>
      </c>
      <c r="D65" s="971" t="s">
        <v>825</v>
      </c>
      <c r="E65" s="502" t="s">
        <v>826</v>
      </c>
      <c r="F65" s="501"/>
    </row>
    <row r="66" spans="2:22">
      <c r="C66" s="1088" t="s">
        <v>39</v>
      </c>
      <c r="D66" s="971" t="s">
        <v>1507</v>
      </c>
      <c r="E66" s="504" t="s">
        <v>170</v>
      </c>
      <c r="F66" s="501"/>
    </row>
    <row r="67" spans="2:22">
      <c r="B67" s="26">
        <v>2019</v>
      </c>
      <c r="C67" s="1507">
        <v>96.9</v>
      </c>
      <c r="D67" s="318">
        <v>394.5</v>
      </c>
      <c r="E67" s="571">
        <f t="shared" ref="E67:E73" si="22">+D67/I67</f>
        <v>14.720149253731343</v>
      </c>
      <c r="F67" s="1923"/>
      <c r="I67" s="565">
        <v>26.8</v>
      </c>
    </row>
    <row r="68" spans="2:22">
      <c r="B68" s="26">
        <v>2020</v>
      </c>
      <c r="C68" s="1507">
        <v>97.8</v>
      </c>
      <c r="D68" s="318">
        <v>308</v>
      </c>
      <c r="E68" s="571">
        <f t="shared" si="22"/>
        <v>11.755725190839694</v>
      </c>
      <c r="F68" s="974"/>
      <c r="I68" s="565">
        <v>26.2</v>
      </c>
    </row>
    <row r="69" spans="2:22">
      <c r="B69" s="26">
        <v>2021</v>
      </c>
      <c r="C69" s="1508">
        <v>95</v>
      </c>
      <c r="D69" s="318">
        <v>801</v>
      </c>
      <c r="E69" s="571">
        <f t="shared" si="22"/>
        <v>33.51464435146444</v>
      </c>
      <c r="F69" s="974"/>
      <c r="I69" s="564">
        <v>23.9</v>
      </c>
    </row>
    <row r="70" spans="2:22">
      <c r="B70" s="26">
        <v>2022</v>
      </c>
      <c r="C70" s="1507">
        <v>94.7</v>
      </c>
      <c r="D70" s="318">
        <v>1105</v>
      </c>
      <c r="E70" s="571">
        <f t="shared" si="22"/>
        <v>47.42489270386266</v>
      </c>
      <c r="F70" s="974"/>
      <c r="I70" s="564">
        <v>23.3</v>
      </c>
    </row>
    <row r="71" spans="2:22">
      <c r="B71" s="26">
        <v>2023</v>
      </c>
      <c r="C71" s="1508">
        <v>93.2</v>
      </c>
      <c r="D71" s="318">
        <v>1522.2</v>
      </c>
      <c r="E71" s="571">
        <f t="shared" si="22"/>
        <v>66.182608695652178</v>
      </c>
      <c r="F71" s="974"/>
      <c r="I71" s="564">
        <v>23</v>
      </c>
    </row>
    <row r="72" spans="2:22">
      <c r="B72" s="26">
        <v>2024</v>
      </c>
      <c r="C72" s="1508">
        <v>92.7</v>
      </c>
      <c r="D72" s="318">
        <v>1791.4</v>
      </c>
      <c r="E72" s="571">
        <f t="shared" si="22"/>
        <v>82.552995391705082</v>
      </c>
      <c r="F72" s="974"/>
      <c r="I72" s="564">
        <v>21.7</v>
      </c>
    </row>
    <row r="73" spans="2:22">
      <c r="B73" s="742" t="s">
        <v>1061</v>
      </c>
      <c r="C73" s="1817">
        <v>93.5</v>
      </c>
      <c r="D73" s="740">
        <v>1679</v>
      </c>
      <c r="E73" s="740">
        <f t="shared" si="22"/>
        <v>79.952380952380949</v>
      </c>
      <c r="F73" s="974"/>
      <c r="I73" s="741">
        <v>21</v>
      </c>
    </row>
    <row r="74" spans="2:22">
      <c r="B74" s="1366" t="s">
        <v>2250</v>
      </c>
      <c r="C74" s="776"/>
      <c r="D74" s="1924">
        <f>+D73-D67</f>
        <v>1284.5</v>
      </c>
      <c r="E74" s="793">
        <f>+E73-E67</f>
        <v>65.232231698649599</v>
      </c>
      <c r="F74" s="245"/>
    </row>
    <row r="75" spans="2:22">
      <c r="B75" s="11"/>
      <c r="C75" s="30"/>
      <c r="D75" s="1313">
        <f>+D74/D67</f>
        <v>3.2560202788339669</v>
      </c>
      <c r="E75" s="1313">
        <f>+E74/E67</f>
        <v>4.4314925463214427</v>
      </c>
      <c r="F75" s="1460"/>
    </row>
    <row r="76" spans="2:22">
      <c r="B76" s="829" t="s">
        <v>2249</v>
      </c>
      <c r="C76" s="830">
        <v>0.94830000000000003</v>
      </c>
    </row>
    <row r="80" spans="2:22">
      <c r="B80" s="492">
        <f>(+C16-C8)/C8</f>
        <v>2.1273176761433872</v>
      </c>
      <c r="C80" s="340">
        <f>+C15-C8</f>
        <v>14.61</v>
      </c>
      <c r="D80" s="492">
        <f>+C80/C8</f>
        <v>1.8059332509270705</v>
      </c>
      <c r="E80" s="53">
        <f>+E15-E8</f>
        <v>636.74007152268018</v>
      </c>
      <c r="F80" s="53"/>
      <c r="H80" s="636">
        <f>+E80/E8</f>
        <v>1.8181329607137098</v>
      </c>
      <c r="S80" s="11" t="s">
        <v>1351</v>
      </c>
      <c r="T80" s="53"/>
      <c r="U80" s="53"/>
      <c r="V80" s="1125"/>
    </row>
    <row r="81" spans="2:28">
      <c r="T81" s="151" t="s">
        <v>1350</v>
      </c>
      <c r="U81" s="40" t="s">
        <v>1083</v>
      </c>
    </row>
    <row r="82" spans="2:28">
      <c r="K82" s="11" t="s">
        <v>2181</v>
      </c>
      <c r="S82" s="150"/>
      <c r="T82" s="101" t="s">
        <v>1164</v>
      </c>
      <c r="U82" s="41" t="s">
        <v>16</v>
      </c>
      <c r="V82" s="1121" t="s">
        <v>1345</v>
      </c>
    </row>
    <row r="83" spans="2:28">
      <c r="B83" s="11" t="s">
        <v>1744</v>
      </c>
      <c r="S83" s="1128" t="s">
        <v>1349</v>
      </c>
      <c r="T83" s="969">
        <v>14.7</v>
      </c>
      <c r="U83" s="19" t="s">
        <v>40</v>
      </c>
      <c r="V83" s="1096" t="s">
        <v>1346</v>
      </c>
    </row>
    <row r="84" spans="2:28">
      <c r="C84" s="2071" t="s">
        <v>1250</v>
      </c>
      <c r="D84" s="2077"/>
      <c r="E84" s="2072"/>
      <c r="F84" s="42"/>
      <c r="H84" s="39" t="s">
        <v>959</v>
      </c>
      <c r="K84" s="40" t="s">
        <v>779</v>
      </c>
      <c r="L84" s="1859" t="s">
        <v>1071</v>
      </c>
      <c r="M84" s="40" t="s">
        <v>122</v>
      </c>
      <c r="S84" s="1129">
        <v>2021</v>
      </c>
      <c r="T84" s="601">
        <v>17.8</v>
      </c>
      <c r="U84" s="1126">
        <f>+(T84-T83)/T83</f>
        <v>0.21088435374149669</v>
      </c>
      <c r="V84" s="1096" t="s">
        <v>1347</v>
      </c>
    </row>
    <row r="85" spans="2:28">
      <c r="B85" s="300">
        <v>45291</v>
      </c>
      <c r="C85" s="39" t="s">
        <v>1203</v>
      </c>
      <c r="D85" s="39" t="s">
        <v>39</v>
      </c>
      <c r="E85" s="39" t="s">
        <v>1248</v>
      </c>
      <c r="F85" s="42"/>
      <c r="G85" s="30"/>
      <c r="H85" s="39" t="s">
        <v>1247</v>
      </c>
      <c r="K85" s="41">
        <v>2024</v>
      </c>
      <c r="L85" s="1860">
        <v>0.05</v>
      </c>
      <c r="M85" s="1860">
        <v>0.94</v>
      </c>
      <c r="S85" s="1129">
        <v>2022</v>
      </c>
      <c r="T85" s="601">
        <v>22.3</v>
      </c>
      <c r="U85" s="1126">
        <f t="shared" ref="U85:U86" si="23">+(T85-T84)/T84</f>
        <v>0.25280898876404495</v>
      </c>
      <c r="V85" s="1096" t="s">
        <v>1348</v>
      </c>
    </row>
    <row r="86" spans="2:28">
      <c r="B86" s="26">
        <v>2014</v>
      </c>
      <c r="C86" s="577">
        <v>6.12</v>
      </c>
      <c r="D86" s="578"/>
      <c r="E86" s="574">
        <f>+C86/H86*1000</f>
        <v>288.67924528301887</v>
      </c>
      <c r="F86" s="53"/>
      <c r="H86" s="986">
        <v>21.2</v>
      </c>
      <c r="K86" s="46">
        <v>6.4249999999999998</v>
      </c>
      <c r="L86" s="46">
        <f>+K86*1.05</f>
        <v>6.7462499999999999</v>
      </c>
      <c r="M86" s="46">
        <f>+L86*0.06*1000</f>
        <v>404.77499999999998</v>
      </c>
      <c r="S86" s="1130" t="s">
        <v>815</v>
      </c>
      <c r="T86" s="600">
        <v>23.7</v>
      </c>
      <c r="U86" s="1131">
        <f t="shared" si="23"/>
        <v>6.2780269058295896E-2</v>
      </c>
      <c r="V86" s="1127">
        <f>+(T86-T83)/T83</f>
        <v>0.61224489795918369</v>
      </c>
    </row>
    <row r="87" spans="2:28">
      <c r="B87" s="26">
        <v>2015</v>
      </c>
      <c r="C87" s="576">
        <v>7.52</v>
      </c>
      <c r="D87" s="209">
        <f>+(C87-C86)/C86</f>
        <v>0.22875816993464043</v>
      </c>
      <c r="E87" s="574">
        <f t="shared" ref="E87:E90" si="24">+C87/H87*1000</f>
        <v>338.73873873873873</v>
      </c>
      <c r="F87" s="53"/>
      <c r="H87" s="565">
        <v>22.2</v>
      </c>
    </row>
    <row r="88" spans="2:28">
      <c r="B88" s="26">
        <v>2016</v>
      </c>
      <c r="C88" s="576">
        <v>8.09</v>
      </c>
      <c r="D88" s="209">
        <f>+(C88-C87)/C87</f>
        <v>7.5797872340425579E-2</v>
      </c>
      <c r="E88" s="574">
        <f t="shared" si="24"/>
        <v>350.2164502164502</v>
      </c>
      <c r="F88" s="53"/>
      <c r="H88" s="565">
        <v>23.1</v>
      </c>
      <c r="T88" s="636">
        <f>+T86-T83</f>
        <v>9</v>
      </c>
    </row>
    <row r="89" spans="2:28">
      <c r="B89" s="26">
        <v>2017</v>
      </c>
      <c r="C89" s="576">
        <v>9.98</v>
      </c>
      <c r="D89" s="209">
        <f>+(C89-C88)/C88</f>
        <v>0.23362175525339934</v>
      </c>
      <c r="E89" s="574">
        <f t="shared" si="24"/>
        <v>358.99280575539569</v>
      </c>
      <c r="F89" s="53"/>
      <c r="H89" s="565">
        <v>27.8</v>
      </c>
    </row>
    <row r="90" spans="2:28">
      <c r="B90" s="26">
        <v>2018</v>
      </c>
      <c r="C90" s="987">
        <v>12.02</v>
      </c>
      <c r="D90" s="988">
        <f>+(C90-C89)/C89</f>
        <v>0.20440881763527044</v>
      </c>
      <c r="E90" s="989">
        <f t="shared" si="24"/>
        <v>441.91176470588232</v>
      </c>
      <c r="F90" s="53"/>
      <c r="H90" s="990">
        <v>27.2</v>
      </c>
    </row>
    <row r="91" spans="2:28">
      <c r="B91" s="992" t="s">
        <v>986</v>
      </c>
      <c r="C91" s="991">
        <f>+C90-C86</f>
        <v>5.8999999999999995</v>
      </c>
      <c r="D91" s="47"/>
      <c r="E91" s="994">
        <f>+E90-E86</f>
        <v>153.23251942286345</v>
      </c>
      <c r="F91" s="994"/>
      <c r="G91" s="47"/>
      <c r="H91" s="995">
        <f>+H90-H86</f>
        <v>6</v>
      </c>
    </row>
    <row r="92" spans="2:28">
      <c r="B92" s="992" t="s">
        <v>39</v>
      </c>
      <c r="C92" s="993">
        <f>+C91/C86</f>
        <v>0.96405228758169925</v>
      </c>
      <c r="D92" s="47"/>
      <c r="E92" s="993">
        <f>+E91/E86</f>
        <v>0.5308054594386773</v>
      </c>
      <c r="F92" s="993"/>
      <c r="G92" s="47"/>
      <c r="H92" s="993">
        <f>+H91/H86</f>
        <v>0.28301886792452829</v>
      </c>
      <c r="R92" s="9" t="s">
        <v>1738</v>
      </c>
      <c r="Z92" s="840"/>
      <c r="AA92" s="840"/>
    </row>
    <row r="93" spans="2:28">
      <c r="R93" s="1282" t="s">
        <v>1334</v>
      </c>
      <c r="S93" s="30"/>
      <c r="T93" s="39" t="s">
        <v>1177</v>
      </c>
      <c r="U93" s="39" t="s">
        <v>1179</v>
      </c>
      <c r="V93" s="981" t="s">
        <v>1175</v>
      </c>
      <c r="W93" s="39" t="s">
        <v>1174</v>
      </c>
      <c r="X93" s="39" t="s">
        <v>1173</v>
      </c>
      <c r="Y93" s="39" t="s">
        <v>1178</v>
      </c>
      <c r="Z93" s="39" t="s">
        <v>1736</v>
      </c>
      <c r="AA93" s="2104" t="s">
        <v>19</v>
      </c>
      <c r="AB93" s="2105"/>
    </row>
    <row r="94" spans="2:28">
      <c r="R94" s="515" t="s">
        <v>1737</v>
      </c>
      <c r="S94" s="865"/>
      <c r="T94" s="785">
        <v>0.9</v>
      </c>
      <c r="U94" s="869">
        <v>0.83399999999999996</v>
      </c>
      <c r="V94" s="809">
        <v>0.86199999999999999</v>
      </c>
      <c r="W94" s="785">
        <v>1</v>
      </c>
      <c r="X94" s="785">
        <v>1</v>
      </c>
      <c r="Y94" s="785">
        <v>1</v>
      </c>
      <c r="Z94" s="785">
        <v>0.95</v>
      </c>
      <c r="AA94" s="1461" t="s">
        <v>984</v>
      </c>
      <c r="AB94" s="39" t="s">
        <v>170</v>
      </c>
    </row>
    <row r="95" spans="2:28">
      <c r="R95" s="460" t="s">
        <v>1735</v>
      </c>
      <c r="S95" s="460"/>
      <c r="T95" s="601">
        <v>5.74</v>
      </c>
      <c r="U95" s="601">
        <v>4.84</v>
      </c>
      <c r="V95" s="743">
        <v>2.98</v>
      </c>
      <c r="W95" s="601">
        <v>3.9</v>
      </c>
      <c r="X95" s="601">
        <v>2.145</v>
      </c>
      <c r="Y95" s="601">
        <v>0.76</v>
      </c>
      <c r="Z95" s="601">
        <v>2.33</v>
      </c>
      <c r="AA95" s="1462">
        <f>SUM(T95:Z95)</f>
        <v>22.695</v>
      </c>
      <c r="AB95" s="1463">
        <v>1</v>
      </c>
    </row>
    <row r="96" spans="2:28">
      <c r="B96" s="11"/>
      <c r="R96" s="796" t="s">
        <v>1197</v>
      </c>
      <c r="S96" s="874"/>
      <c r="T96" s="875">
        <f t="shared" ref="T96:Z96" si="25">+T95-T97</f>
        <v>0.57399999999999984</v>
      </c>
      <c r="U96" s="875">
        <f t="shared" si="25"/>
        <v>0.80344000000000015</v>
      </c>
      <c r="V96" s="872">
        <f t="shared" si="25"/>
        <v>0.41123999999999983</v>
      </c>
      <c r="W96" s="875">
        <f t="shared" si="25"/>
        <v>0</v>
      </c>
      <c r="X96" s="875">
        <f t="shared" si="25"/>
        <v>0</v>
      </c>
      <c r="Y96" s="875">
        <f t="shared" si="25"/>
        <v>0</v>
      </c>
      <c r="Z96" s="875">
        <f t="shared" si="25"/>
        <v>0.11650000000000027</v>
      </c>
      <c r="AA96" s="875">
        <f>SUM(T96:Z96)</f>
        <v>1.9051800000000001</v>
      </c>
      <c r="AB96" s="1277">
        <f>+AA96/AA95</f>
        <v>8.3947124917382682E-2</v>
      </c>
    </row>
    <row r="97" spans="2:28">
      <c r="B97" s="11" t="s">
        <v>2167</v>
      </c>
      <c r="I97" s="502" t="s">
        <v>1109</v>
      </c>
      <c r="R97" s="777" t="s">
        <v>1176</v>
      </c>
      <c r="S97" s="1464"/>
      <c r="T97" s="1465">
        <f t="shared" ref="T97:Z97" si="26">+T95*T94</f>
        <v>5.1660000000000004</v>
      </c>
      <c r="U97" s="1465">
        <f t="shared" si="26"/>
        <v>4.0365599999999997</v>
      </c>
      <c r="V97" s="872">
        <f t="shared" si="26"/>
        <v>2.5687600000000002</v>
      </c>
      <c r="W97" s="1465">
        <f t="shared" si="26"/>
        <v>3.9</v>
      </c>
      <c r="X97" s="1465">
        <f t="shared" si="26"/>
        <v>2.145</v>
      </c>
      <c r="Y97" s="1465">
        <f t="shared" si="26"/>
        <v>0.76</v>
      </c>
      <c r="Z97" s="1465">
        <f t="shared" si="26"/>
        <v>2.2134999999999998</v>
      </c>
      <c r="AA97" s="1465">
        <f>SUM(T97:Z97)</f>
        <v>20.789820000000002</v>
      </c>
      <c r="AB97" s="1319">
        <f>+AA97/AA95</f>
        <v>0.91605287508261746</v>
      </c>
    </row>
    <row r="98" spans="2:28">
      <c r="B98" s="2071" t="s">
        <v>1250</v>
      </c>
      <c r="C98" s="2077"/>
      <c r="D98" s="2077"/>
      <c r="E98" s="2077"/>
      <c r="F98" s="2077"/>
      <c r="G98" s="2072"/>
      <c r="I98" s="503" t="s">
        <v>959</v>
      </c>
    </row>
    <row r="99" spans="2:28">
      <c r="B99" s="300">
        <v>45291</v>
      </c>
      <c r="C99" s="39" t="s">
        <v>2002</v>
      </c>
      <c r="D99" s="39" t="s">
        <v>39</v>
      </c>
      <c r="E99" s="981" t="s">
        <v>1107</v>
      </c>
      <c r="F99" s="981"/>
      <c r="G99" s="981" t="s">
        <v>39</v>
      </c>
      <c r="I99" s="504" t="s">
        <v>1459</v>
      </c>
    </row>
    <row r="100" spans="2:28">
      <c r="B100" s="26">
        <v>2019</v>
      </c>
      <c r="C100" s="1839">
        <v>13.26</v>
      </c>
      <c r="D100" s="785" t="s">
        <v>40</v>
      </c>
      <c r="E100" s="1846">
        <f t="shared" ref="E100:E105" si="27">+C100/I100*1000</f>
        <v>494.77611940298505</v>
      </c>
      <c r="F100" s="1871"/>
      <c r="G100" s="788" t="s">
        <v>40</v>
      </c>
      <c r="I100" s="986">
        <v>26.8</v>
      </c>
      <c r="R100" s="9" t="s">
        <v>1739</v>
      </c>
      <c r="Z100" s="840"/>
      <c r="AA100" s="840"/>
    </row>
    <row r="101" spans="2:28">
      <c r="B101" s="26">
        <v>2020</v>
      </c>
      <c r="C101" s="1839">
        <v>14.72</v>
      </c>
      <c r="D101" s="785">
        <f>+(C101-C100)/C100</f>
        <v>0.11010558069381605</v>
      </c>
      <c r="E101" s="1846">
        <f t="shared" si="27"/>
        <v>561.83206106870227</v>
      </c>
      <c r="F101" s="1871"/>
      <c r="G101" s="737">
        <f>+(E101-E100)/E100</f>
        <v>0.13552784590054462</v>
      </c>
      <c r="I101" s="565">
        <v>26.2</v>
      </c>
      <c r="R101" s="1282"/>
      <c r="S101" s="30"/>
      <c r="T101" s="39" t="s">
        <v>1177</v>
      </c>
      <c r="U101" s="39" t="s">
        <v>1179</v>
      </c>
      <c r="V101" s="39" t="s">
        <v>1175</v>
      </c>
      <c r="W101" s="39" t="s">
        <v>1174</v>
      </c>
      <c r="X101" s="39" t="s">
        <v>1173</v>
      </c>
      <c r="Y101" s="39" t="s">
        <v>1178</v>
      </c>
      <c r="Z101" s="39" t="s">
        <v>1736</v>
      </c>
      <c r="AA101" s="2104" t="s">
        <v>19</v>
      </c>
      <c r="AB101" s="2105"/>
    </row>
    <row r="102" spans="2:28">
      <c r="B102" s="26">
        <v>2021</v>
      </c>
      <c r="C102" s="1839">
        <v>17.809999999999999</v>
      </c>
      <c r="D102" s="785">
        <f>+(C102-C101)/C101</f>
        <v>0.20991847826086943</v>
      </c>
      <c r="E102" s="1846">
        <f t="shared" si="27"/>
        <v>745.18828451882848</v>
      </c>
      <c r="F102" s="1871"/>
      <c r="G102" s="737">
        <f>+(E102-E101)/E101</f>
        <v>0.3263541477169366</v>
      </c>
      <c r="I102" s="564">
        <v>23.9</v>
      </c>
      <c r="R102" s="515" t="s">
        <v>1737</v>
      </c>
      <c r="S102" s="865"/>
      <c r="T102" s="785">
        <v>0.9</v>
      </c>
      <c r="U102" s="869">
        <v>0.83399999999999996</v>
      </c>
      <c r="V102" s="785">
        <v>1</v>
      </c>
      <c r="W102" s="785">
        <v>1</v>
      </c>
      <c r="X102" s="785">
        <v>1</v>
      </c>
      <c r="Y102" s="785">
        <v>1</v>
      </c>
      <c r="Z102" s="785">
        <v>0.95</v>
      </c>
      <c r="AA102" s="1461" t="s">
        <v>984</v>
      </c>
      <c r="AB102" s="39" t="s">
        <v>170</v>
      </c>
    </row>
    <row r="103" spans="2:28">
      <c r="B103" s="26">
        <v>2022</v>
      </c>
      <c r="C103" s="1839">
        <v>22.3</v>
      </c>
      <c r="D103" s="1469">
        <f>+(C103-C102)/C102</f>
        <v>0.25210555867490186</v>
      </c>
      <c r="E103" s="1846">
        <f t="shared" si="27"/>
        <v>957.08154506437768</v>
      </c>
      <c r="F103" s="1871"/>
      <c r="G103" s="737">
        <f>+(E103-E102)/E102</f>
        <v>0.28434862027168029</v>
      </c>
      <c r="I103" s="564">
        <v>23.3</v>
      </c>
      <c r="R103" s="460" t="s">
        <v>1735</v>
      </c>
      <c r="S103" s="460"/>
      <c r="T103" s="601">
        <v>5.74</v>
      </c>
      <c r="U103" s="601">
        <v>4.84</v>
      </c>
      <c r="V103" s="601">
        <v>2.98</v>
      </c>
      <c r="W103" s="601">
        <v>3.9</v>
      </c>
      <c r="X103" s="601">
        <v>2.145</v>
      </c>
      <c r="Y103" s="601">
        <v>0.76</v>
      </c>
      <c r="Z103" s="601">
        <v>2.33</v>
      </c>
      <c r="AA103" s="1462">
        <f>SUM(T103:Z103)</f>
        <v>22.695</v>
      </c>
      <c r="AB103" s="1463">
        <v>1</v>
      </c>
    </row>
    <row r="104" spans="2:28">
      <c r="B104" s="26">
        <v>2023</v>
      </c>
      <c r="C104" s="1839">
        <v>22.9</v>
      </c>
      <c r="D104" s="1840">
        <f t="shared" ref="D104:D105" si="28">+(C104-C103)/C103</f>
        <v>2.690582959641246E-2</v>
      </c>
      <c r="E104" s="1846">
        <f t="shared" si="27"/>
        <v>995.65217391304338</v>
      </c>
      <c r="F104" s="1871"/>
      <c r="G104" s="1847">
        <f>+(E104-E103)/E103</f>
        <v>4.0300253460713496E-2</v>
      </c>
      <c r="I104" s="564">
        <v>23</v>
      </c>
      <c r="R104" s="796" t="s">
        <v>1176</v>
      </c>
      <c r="S104" s="1467"/>
      <c r="T104" s="875">
        <f t="shared" ref="T104:Z104" si="29">+T103*T102</f>
        <v>5.1660000000000004</v>
      </c>
      <c r="U104" s="875">
        <f t="shared" si="29"/>
        <v>4.0365599999999997</v>
      </c>
      <c r="V104" s="875">
        <f t="shared" si="29"/>
        <v>2.98</v>
      </c>
      <c r="W104" s="875">
        <f t="shared" si="29"/>
        <v>3.9</v>
      </c>
      <c r="X104" s="875">
        <f t="shared" si="29"/>
        <v>2.145</v>
      </c>
      <c r="Y104" s="875">
        <f t="shared" si="29"/>
        <v>0.76</v>
      </c>
      <c r="Z104" s="875">
        <f t="shared" si="29"/>
        <v>2.2134999999999998</v>
      </c>
      <c r="AA104" s="875">
        <f>SUM(T104:Z104)</f>
        <v>21.201060000000002</v>
      </c>
      <c r="AB104" s="1277">
        <f>+AA104/AA103</f>
        <v>0.93417316589557176</v>
      </c>
    </row>
    <row r="105" spans="2:28">
      <c r="B105" s="45">
        <v>2024</v>
      </c>
      <c r="C105" s="601">
        <v>25.3</v>
      </c>
      <c r="D105" s="1469">
        <f t="shared" si="28"/>
        <v>0.10480349344978176</v>
      </c>
      <c r="E105" s="740">
        <f t="shared" si="27"/>
        <v>1165.8986175115208</v>
      </c>
      <c r="F105" s="740"/>
      <c r="G105" s="737">
        <f>+(E105-E104)/E104</f>
        <v>0.17098987784999917</v>
      </c>
      <c r="I105" s="845">
        <v>21.7</v>
      </c>
      <c r="R105" s="777" t="s">
        <v>1197</v>
      </c>
      <c r="S105" s="778"/>
      <c r="T105" s="1465">
        <f t="shared" ref="T105:Z105" si="30">+T103-T104</f>
        <v>0.57399999999999984</v>
      </c>
      <c r="U105" s="1465">
        <f t="shared" si="30"/>
        <v>0.80344000000000015</v>
      </c>
      <c r="V105" s="1465">
        <f t="shared" si="30"/>
        <v>0</v>
      </c>
      <c r="W105" s="1465">
        <f t="shared" si="30"/>
        <v>0</v>
      </c>
      <c r="X105" s="1465">
        <f t="shared" si="30"/>
        <v>0</v>
      </c>
      <c r="Y105" s="1465">
        <f t="shared" si="30"/>
        <v>0</v>
      </c>
      <c r="Z105" s="1465">
        <f t="shared" si="30"/>
        <v>0.11650000000000027</v>
      </c>
      <c r="AA105" s="1465">
        <f>SUM(T105:Z105)</f>
        <v>1.4939400000000003</v>
      </c>
      <c r="AB105" s="1319">
        <f>+AA105/AA103</f>
        <v>6.58268341044283E-2</v>
      </c>
    </row>
    <row r="106" spans="2:28" ht="17" thickBot="1">
      <c r="B106" s="829" t="s">
        <v>16</v>
      </c>
      <c r="C106" s="875">
        <f>+C105-C100</f>
        <v>12.040000000000001</v>
      </c>
      <c r="D106" s="1596">
        <f>+C106/C100</f>
        <v>0.90799396681749633</v>
      </c>
      <c r="E106" s="793">
        <f>+E105-E100</f>
        <v>671.12249810853575</v>
      </c>
      <c r="F106" s="1872"/>
      <c r="G106" s="1843">
        <f>+E106/E100</f>
        <v>1.3564165120142353</v>
      </c>
      <c r="I106" s="1845">
        <f>+I105-I100</f>
        <v>-5.1000000000000014</v>
      </c>
    </row>
    <row r="107" spans="2:28" ht="17" thickBot="1">
      <c r="B107" s="2093" t="s">
        <v>2165</v>
      </c>
      <c r="C107" s="2094"/>
      <c r="D107" s="1830">
        <v>0.13700000000000001</v>
      </c>
      <c r="E107" s="1842"/>
      <c r="F107" s="245"/>
      <c r="G107" s="1844">
        <v>0.187</v>
      </c>
      <c r="I107" s="245"/>
      <c r="R107" s="340"/>
    </row>
    <row r="108" spans="2:28">
      <c r="T108" s="556">
        <v>25.4</v>
      </c>
      <c r="U108" s="556">
        <f>+AA105</f>
        <v>1.4939400000000003</v>
      </c>
      <c r="V108" s="556">
        <f>+T108-U108</f>
        <v>23.906059999999997</v>
      </c>
    </row>
    <row r="110" spans="2:28">
      <c r="B110" s="11" t="s">
        <v>1743</v>
      </c>
    </row>
    <row r="111" spans="2:28">
      <c r="C111" s="2071" t="s">
        <v>1250</v>
      </c>
      <c r="D111" s="2077"/>
      <c r="E111" s="2072"/>
      <c r="F111" s="42"/>
      <c r="H111" s="39" t="s">
        <v>959</v>
      </c>
      <c r="K111" t="s">
        <v>1155</v>
      </c>
      <c r="T111" s="11" t="s">
        <v>1741</v>
      </c>
    </row>
    <row r="112" spans="2:28">
      <c r="B112" s="300">
        <v>45291</v>
      </c>
      <c r="C112" s="39" t="s">
        <v>1458</v>
      </c>
      <c r="D112" s="39" t="s">
        <v>39</v>
      </c>
      <c r="E112" s="39" t="s">
        <v>1248</v>
      </c>
      <c r="F112" s="42"/>
      <c r="G112" s="30"/>
      <c r="H112" s="39" t="s">
        <v>1459</v>
      </c>
      <c r="R112" s="340"/>
      <c r="U112" s="39" t="s">
        <v>1458</v>
      </c>
      <c r="V112" s="39" t="s">
        <v>39</v>
      </c>
      <c r="W112" s="556"/>
      <c r="X112" s="556"/>
      <c r="Y112" s="556"/>
      <c r="Z112" s="556"/>
      <c r="AA112" s="556"/>
      <c r="AB112" s="556"/>
    </row>
    <row r="113" spans="2:28">
      <c r="B113" s="26">
        <v>2014</v>
      </c>
      <c r="C113" s="577">
        <v>6.12</v>
      </c>
      <c r="D113" s="578"/>
      <c r="E113" s="574">
        <f>+C113/H113*1000</f>
        <v>288.67924528301887</v>
      </c>
      <c r="F113" s="53"/>
      <c r="H113" s="986">
        <v>21.2</v>
      </c>
      <c r="T113" s="45">
        <v>2014</v>
      </c>
      <c r="U113" s="969">
        <v>6.1</v>
      </c>
      <c r="V113" s="159"/>
      <c r="W113" s="556"/>
      <c r="X113" s="556"/>
      <c r="Y113" s="556"/>
      <c r="Z113" s="556"/>
      <c r="AA113" s="556"/>
      <c r="AB113" s="556"/>
    </row>
    <row r="114" spans="2:28">
      <c r="B114" s="26">
        <v>2015</v>
      </c>
      <c r="C114" s="576">
        <v>7.52</v>
      </c>
      <c r="D114" s="209">
        <f t="shared" ref="D114:D123" si="31">+(C114-C113)/C113</f>
        <v>0.22875816993464043</v>
      </c>
      <c r="E114" s="574">
        <f t="shared" ref="E114:E117" si="32">+C114/H114*1000</f>
        <v>338.73873873873873</v>
      </c>
      <c r="F114" s="53"/>
      <c r="H114" s="565">
        <v>22.2</v>
      </c>
      <c r="T114" s="45" t="s">
        <v>1060</v>
      </c>
      <c r="U114" s="601">
        <v>23.9</v>
      </c>
      <c r="V114" s="90"/>
      <c r="W114" s="556"/>
      <c r="X114" s="556"/>
      <c r="Y114" s="556"/>
      <c r="Z114" s="556"/>
      <c r="AA114" s="556"/>
      <c r="AB114" s="556"/>
    </row>
    <row r="115" spans="2:28">
      <c r="B115" s="26">
        <v>2016</v>
      </c>
      <c r="C115" s="576">
        <v>8.09</v>
      </c>
      <c r="D115" s="209">
        <f t="shared" si="31"/>
        <v>7.5797872340425579E-2</v>
      </c>
      <c r="E115" s="574">
        <f t="shared" si="32"/>
        <v>350.2164502164502</v>
      </c>
      <c r="F115" s="53"/>
      <c r="H115" s="565">
        <v>23.1</v>
      </c>
      <c r="K115" s="340">
        <f>+C123-C116</f>
        <v>15.419999999999998</v>
      </c>
      <c r="L115" s="492">
        <f>+K115/C116</f>
        <v>1.5450901803607211</v>
      </c>
      <c r="R115" s="340"/>
      <c r="T115" s="1298" t="s">
        <v>1742</v>
      </c>
      <c r="U115" s="871">
        <f>+U114-U113</f>
        <v>17.799999999999997</v>
      </c>
      <c r="V115" s="870">
        <f>+U115/U113</f>
        <v>2.9180327868852456</v>
      </c>
      <c r="W115" s="556"/>
      <c r="X115" s="556"/>
      <c r="Y115" s="556"/>
      <c r="Z115" s="556"/>
      <c r="AA115" s="556"/>
      <c r="AB115" s="556"/>
    </row>
    <row r="116" spans="2:28">
      <c r="B116" s="26">
        <v>2017</v>
      </c>
      <c r="C116" s="576">
        <v>9.98</v>
      </c>
      <c r="D116" s="209">
        <f t="shared" si="31"/>
        <v>0.23362175525339934</v>
      </c>
      <c r="E116" s="574">
        <f t="shared" si="32"/>
        <v>358.99280575539569</v>
      </c>
      <c r="F116" s="53"/>
      <c r="H116" s="565">
        <v>27.8</v>
      </c>
      <c r="T116" s="1466" t="s">
        <v>1740</v>
      </c>
      <c r="U116" s="129"/>
      <c r="V116" s="1461">
        <v>0.14599999999999999</v>
      </c>
      <c r="W116" s="556"/>
      <c r="X116" s="556"/>
      <c r="Y116" s="556"/>
      <c r="Z116" s="556"/>
      <c r="AA116" s="556"/>
      <c r="AB116" s="556"/>
    </row>
    <row r="117" spans="2:28">
      <c r="B117" s="26">
        <v>2018</v>
      </c>
      <c r="C117" s="987">
        <v>12.02</v>
      </c>
      <c r="D117" s="988">
        <f t="shared" si="31"/>
        <v>0.20440881763527044</v>
      </c>
      <c r="E117" s="989">
        <f t="shared" si="32"/>
        <v>441.91176470588232</v>
      </c>
      <c r="F117" s="53"/>
      <c r="H117" s="990">
        <v>27.2</v>
      </c>
    </row>
    <row r="118" spans="2:28">
      <c r="B118" s="26">
        <v>2019</v>
      </c>
      <c r="C118" s="576">
        <v>13.26</v>
      </c>
      <c r="D118" s="988">
        <f t="shared" si="31"/>
        <v>0.1031613976705491</v>
      </c>
      <c r="E118" s="574">
        <f t="shared" ref="E118:E123" si="33">+C118/H118*1000</f>
        <v>494.77611940298505</v>
      </c>
      <c r="F118" s="53"/>
      <c r="H118" s="565">
        <v>26.8</v>
      </c>
      <c r="Q118" s="1117"/>
      <c r="R118" s="30"/>
      <c r="S118" s="32"/>
      <c r="T118" s="32"/>
      <c r="U118" s="32"/>
      <c r="V118" s="32"/>
      <c r="W118" s="32"/>
      <c r="X118" s="32"/>
      <c r="Y118" s="32"/>
      <c r="Z118" s="32"/>
      <c r="AA118" s="32"/>
      <c r="AB118" s="32"/>
    </row>
    <row r="119" spans="2:28">
      <c r="B119" s="26">
        <v>2020</v>
      </c>
      <c r="C119" s="576">
        <v>14.72</v>
      </c>
      <c r="D119" s="209">
        <f t="shared" si="31"/>
        <v>0.11010558069381605</v>
      </c>
      <c r="E119" s="574">
        <f t="shared" si="33"/>
        <v>561.83206106870227</v>
      </c>
      <c r="F119" s="53"/>
      <c r="H119" s="565">
        <v>26.2</v>
      </c>
      <c r="R119" s="340"/>
      <c r="S119" s="556"/>
      <c r="T119" s="556"/>
      <c r="U119" s="556"/>
      <c r="V119" s="556"/>
      <c r="W119" s="556"/>
      <c r="X119" s="556"/>
      <c r="Y119" s="556"/>
      <c r="Z119" s="556"/>
      <c r="AA119" s="556"/>
      <c r="AB119" s="1132"/>
    </row>
    <row r="120" spans="2:28">
      <c r="B120" s="26">
        <v>2021</v>
      </c>
      <c r="C120" s="576">
        <v>17.809999999999999</v>
      </c>
      <c r="D120" s="209">
        <f t="shared" si="31"/>
        <v>0.20991847826086943</v>
      </c>
      <c r="E120" s="574">
        <f t="shared" si="33"/>
        <v>745.18828451882848</v>
      </c>
      <c r="F120" s="53"/>
      <c r="H120" s="564">
        <v>23.9</v>
      </c>
    </row>
    <row r="121" spans="2:28">
      <c r="B121" s="14">
        <v>2022</v>
      </c>
      <c r="C121" s="987">
        <v>22.3</v>
      </c>
      <c r="D121" s="996">
        <f t="shared" si="31"/>
        <v>0.25210555867490186</v>
      </c>
      <c r="E121" s="989">
        <f t="shared" si="33"/>
        <v>957.08154506437768</v>
      </c>
      <c r="F121" s="53"/>
      <c r="H121" s="997">
        <v>23.3</v>
      </c>
      <c r="Q121" s="1117"/>
      <c r="R121" s="30"/>
      <c r="S121" s="32"/>
      <c r="T121" s="32"/>
      <c r="U121" s="32"/>
      <c r="V121" s="32"/>
      <c r="W121" s="32"/>
      <c r="X121" s="32"/>
      <c r="Y121" s="32"/>
      <c r="Z121" s="32"/>
      <c r="AA121" s="32"/>
      <c r="AB121" s="32"/>
    </row>
    <row r="122" spans="2:28">
      <c r="B122" s="26">
        <v>2023</v>
      </c>
      <c r="C122" s="576">
        <v>22.9</v>
      </c>
      <c r="D122" s="996">
        <f t="shared" si="31"/>
        <v>2.690582959641246E-2</v>
      </c>
      <c r="E122" s="574">
        <f t="shared" si="33"/>
        <v>995.65217391304338</v>
      </c>
      <c r="F122" s="53"/>
      <c r="H122" s="997">
        <v>23</v>
      </c>
      <c r="J122" s="340">
        <f>+C122-C117</f>
        <v>10.879999999999999</v>
      </c>
      <c r="K122" s="636">
        <f>+J122/C117</f>
        <v>0.90515806988352743</v>
      </c>
      <c r="R122" s="53"/>
      <c r="S122" s="556"/>
      <c r="T122" s="362"/>
      <c r="U122" s="362"/>
      <c r="V122" s="362"/>
      <c r="W122" s="362"/>
      <c r="X122" s="362"/>
      <c r="Y122" s="362"/>
      <c r="Z122" s="362"/>
      <c r="AA122" s="362"/>
      <c r="AB122" s="1133"/>
    </row>
    <row r="123" spans="2:28">
      <c r="B123" s="746" t="s">
        <v>1060</v>
      </c>
      <c r="C123" s="848">
        <v>25.4</v>
      </c>
      <c r="D123" s="732">
        <f t="shared" si="31"/>
        <v>0.1091703056768559</v>
      </c>
      <c r="E123" s="719">
        <f t="shared" si="33"/>
        <v>1159.8173515981737</v>
      </c>
      <c r="F123" s="1362"/>
      <c r="H123" s="849">
        <v>21.9</v>
      </c>
      <c r="J123" s="340"/>
      <c r="K123" s="636"/>
      <c r="R123" s="53"/>
      <c r="S123" s="556"/>
      <c r="T123" s="362"/>
      <c r="U123" s="362"/>
      <c r="V123" s="362"/>
      <c r="W123" s="362"/>
      <c r="X123" s="362"/>
      <c r="Y123" s="362"/>
      <c r="Z123" s="362"/>
      <c r="AA123" s="362"/>
      <c r="AB123" s="1133"/>
    </row>
    <row r="124" spans="2:28">
      <c r="B124" s="1222" t="s">
        <v>967</v>
      </c>
      <c r="C124" s="1226">
        <f>+C123-C113</f>
        <v>19.279999999999998</v>
      </c>
      <c r="D124" s="11"/>
      <c r="E124" s="1331">
        <f>+E123-E113</f>
        <v>871.1381063151548</v>
      </c>
      <c r="F124" s="1873"/>
      <c r="G124" s="11"/>
      <c r="H124" s="1459"/>
      <c r="T124" s="556"/>
      <c r="U124" s="556"/>
      <c r="V124" s="556"/>
      <c r="W124" s="556"/>
      <c r="X124" s="556"/>
      <c r="Y124" s="556"/>
      <c r="Z124" s="556"/>
      <c r="AA124" s="556"/>
      <c r="AB124" s="556"/>
    </row>
    <row r="125" spans="2:28">
      <c r="B125" s="1222" t="s">
        <v>39</v>
      </c>
      <c r="C125" s="1318">
        <f>+C124/C113</f>
        <v>3.1503267973856204</v>
      </c>
      <c r="D125" s="11"/>
      <c r="E125" s="1318">
        <f>+E124/E113</f>
        <v>3.0176679499806016</v>
      </c>
      <c r="F125" s="1874"/>
      <c r="G125" s="11"/>
      <c r="H125" s="245"/>
      <c r="Q125" s="11"/>
      <c r="R125" s="30"/>
      <c r="S125" s="32"/>
      <c r="T125" s="32"/>
      <c r="U125" s="32"/>
      <c r="V125" s="32"/>
      <c r="W125" s="32"/>
      <c r="X125" s="32"/>
      <c r="Y125" s="32"/>
      <c r="Z125" s="32"/>
      <c r="AA125" s="32"/>
      <c r="AB125" s="32"/>
    </row>
    <row r="126" spans="2:28">
      <c r="B126" s="1222" t="s">
        <v>1251</v>
      </c>
      <c r="C126" s="1319">
        <v>0.153</v>
      </c>
      <c r="D126" s="11"/>
      <c r="E126" s="1319">
        <v>0.14899999999999999</v>
      </c>
      <c r="F126" s="1875"/>
      <c r="G126" s="11"/>
      <c r="H126" s="1460"/>
      <c r="R126" s="340"/>
      <c r="T126" s="556"/>
      <c r="U126" s="556"/>
      <c r="V126" s="556"/>
      <c r="W126" s="556"/>
      <c r="X126" s="556"/>
      <c r="Y126" s="556"/>
      <c r="Z126" s="556"/>
      <c r="AA126" s="556"/>
      <c r="AB126" s="1132"/>
    </row>
    <row r="127" spans="2:28">
      <c r="S127" s="556"/>
      <c r="T127" s="556"/>
      <c r="U127" s="556"/>
      <c r="V127" s="556"/>
      <c r="W127" s="556"/>
      <c r="X127" s="556"/>
      <c r="Y127" s="556"/>
      <c r="Z127" s="556"/>
      <c r="AA127" s="556"/>
      <c r="AB127" s="556"/>
    </row>
    <row r="128" spans="2:28">
      <c r="S128" s="556"/>
      <c r="T128" s="556"/>
      <c r="U128" s="556"/>
      <c r="V128" s="556"/>
      <c r="W128" s="556"/>
      <c r="X128" s="556"/>
      <c r="Y128" s="556"/>
      <c r="Z128" s="556"/>
      <c r="AA128" s="556"/>
      <c r="AB128" s="556"/>
    </row>
    <row r="130" spans="2:13">
      <c r="B130" s="11" t="s">
        <v>1528</v>
      </c>
    </row>
    <row r="131" spans="2:13">
      <c r="B131" s="11"/>
      <c r="C131" s="2100" t="s">
        <v>1529</v>
      </c>
      <c r="D131" s="2101"/>
      <c r="H131" s="863" t="s">
        <v>975</v>
      </c>
      <c r="I131" s="30"/>
      <c r="J131" s="30"/>
      <c r="K131" s="30"/>
      <c r="L131" s="30"/>
    </row>
    <row r="132" spans="2:13">
      <c r="C132" s="2102" t="s">
        <v>957</v>
      </c>
      <c r="D132" s="2103"/>
      <c r="E132" s="1222" t="s">
        <v>959</v>
      </c>
      <c r="F132" s="1876"/>
      <c r="G132" s="11"/>
      <c r="H132" s="1320" t="s">
        <v>1530</v>
      </c>
      <c r="I132" s="42"/>
      <c r="J132" s="992" t="s">
        <v>1155</v>
      </c>
      <c r="K132" s="30"/>
      <c r="L132" s="39" t="s">
        <v>1509</v>
      </c>
      <c r="M132" s="11"/>
    </row>
    <row r="133" spans="2:13">
      <c r="B133" s="300">
        <v>45291</v>
      </c>
      <c r="C133" s="1091" t="s">
        <v>1458</v>
      </c>
      <c r="D133" s="1091" t="s">
        <v>1248</v>
      </c>
      <c r="E133" s="1222" t="s">
        <v>1459</v>
      </c>
      <c r="F133" s="1876"/>
      <c r="G133" s="42"/>
      <c r="H133" s="981" t="s">
        <v>1458</v>
      </c>
      <c r="I133" s="42"/>
      <c r="J133" s="992" t="s">
        <v>1458</v>
      </c>
      <c r="L133" s="39" t="s">
        <v>984</v>
      </c>
      <c r="M133" s="42"/>
    </row>
    <row r="134" spans="2:13">
      <c r="B134" s="151">
        <v>2014</v>
      </c>
      <c r="C134" s="1309">
        <v>6.12</v>
      </c>
      <c r="D134" s="1310">
        <f>+C134/E134*1000</f>
        <v>288.67924528301887</v>
      </c>
      <c r="E134" s="978">
        <v>21.2</v>
      </c>
      <c r="F134" s="650"/>
      <c r="H134" s="868">
        <v>26.19</v>
      </c>
      <c r="J134" s="1324">
        <v>15.1</v>
      </c>
      <c r="L134" s="1307">
        <v>394.83</v>
      </c>
    </row>
    <row r="135" spans="2:13">
      <c r="B135" s="39">
        <v>2023</v>
      </c>
      <c r="C135" s="848">
        <v>22.9</v>
      </c>
      <c r="D135" s="1067">
        <v>995.65217391304338</v>
      </c>
      <c r="E135" s="1316">
        <v>23</v>
      </c>
      <c r="F135" s="1877"/>
      <c r="H135" s="868">
        <v>64.760000000000005</v>
      </c>
      <c r="J135" s="1324">
        <v>35.1</v>
      </c>
      <c r="L135" s="318">
        <v>939.65</v>
      </c>
    </row>
    <row r="136" spans="2:13">
      <c r="B136" s="39" t="s">
        <v>16</v>
      </c>
      <c r="C136" s="1311">
        <v>16.779999999999998</v>
      </c>
      <c r="D136" s="1312">
        <v>706.97292863002451</v>
      </c>
      <c r="E136" s="1317">
        <v>1.8000000000000007</v>
      </c>
      <c r="F136" s="1878"/>
      <c r="H136" s="1321">
        <f>+H135-H134</f>
        <v>38.570000000000007</v>
      </c>
      <c r="I136" s="11"/>
      <c r="J136" s="991">
        <f>+J135-J134</f>
        <v>20</v>
      </c>
      <c r="K136" s="11"/>
      <c r="L136" s="336">
        <f>+L135-L134</f>
        <v>544.81999999999994</v>
      </c>
    </row>
    <row r="137" spans="2:13">
      <c r="B137" s="39" t="s">
        <v>39</v>
      </c>
      <c r="C137" s="1313">
        <f>(+C135-C134)/C134</f>
        <v>2.7418300653594767</v>
      </c>
      <c r="D137" s="1314">
        <f>(+D135-D134)/D134</f>
        <v>2.4489911906791697</v>
      </c>
      <c r="E137" s="1318">
        <f>(+E135-E134)/E134</f>
        <v>8.4905660377358527E-2</v>
      </c>
      <c r="F137" s="1874"/>
      <c r="G137" s="361"/>
      <c r="H137" s="1322">
        <f>(+H135-H134)/H134</f>
        <v>1.4726995036273389</v>
      </c>
      <c r="I137" s="258"/>
      <c r="J137" s="993">
        <f>(+J135-J134)/J134</f>
        <v>1.3245033112582782</v>
      </c>
      <c r="K137" s="11"/>
      <c r="L137" s="1308">
        <f>(+L135-L134)/L134</f>
        <v>1.3798850138034089</v>
      </c>
      <c r="M137" s="361"/>
    </row>
    <row r="138" spans="2:13">
      <c r="B138" s="39" t="s">
        <v>1251</v>
      </c>
      <c r="C138" s="1277">
        <v>0.158</v>
      </c>
      <c r="D138" s="1315">
        <v>0.14699999999999999</v>
      </c>
      <c r="E138" s="1319">
        <v>9.1999999999999998E-3</v>
      </c>
      <c r="F138" s="1875"/>
      <c r="H138" s="1323">
        <v>0.106</v>
      </c>
      <c r="I138" s="11"/>
      <c r="J138" s="998">
        <v>9.8000000000000004E-2</v>
      </c>
      <c r="K138" s="11"/>
      <c r="L138" s="1276">
        <v>0.10100000000000001</v>
      </c>
    </row>
    <row r="144" spans="2:13">
      <c r="B144" s="1" t="s">
        <v>892</v>
      </c>
      <c r="C144" s="11"/>
      <c r="D144" s="11"/>
      <c r="E144" s="11"/>
      <c r="F144" s="11"/>
    </row>
    <row r="146" spans="2:23">
      <c r="B146" s="553">
        <v>2014</v>
      </c>
      <c r="C146" s="554">
        <v>2015</v>
      </c>
      <c r="D146" s="554">
        <v>2016</v>
      </c>
      <c r="E146" s="554">
        <v>2017</v>
      </c>
      <c r="F146" s="554"/>
      <c r="G146" s="533"/>
      <c r="H146" s="554">
        <v>2018</v>
      </c>
      <c r="I146" s="554">
        <v>2019</v>
      </c>
      <c r="S146" s="554">
        <v>2020</v>
      </c>
      <c r="U146" s="554">
        <v>2021</v>
      </c>
      <c r="V146" s="554">
        <v>2022</v>
      </c>
      <c r="W146" s="548">
        <v>2023</v>
      </c>
    </row>
    <row r="147" spans="2:23">
      <c r="B147" s="555">
        <v>6.12</v>
      </c>
      <c r="C147" s="556">
        <f>+B147*(1+$B148)</f>
        <v>7.1910000000000007</v>
      </c>
      <c r="D147" s="556">
        <f>+C147*(1+$B148)</f>
        <v>8.4494250000000015</v>
      </c>
      <c r="E147" s="556">
        <f>+D147*(1+$B148)</f>
        <v>9.9280743750000013</v>
      </c>
      <c r="F147" s="556"/>
      <c r="H147" s="556">
        <f>+E147*(1+$B148)</f>
        <v>11.665487390625001</v>
      </c>
      <c r="I147" s="556">
        <f>+H147*(1+$B148)</f>
        <v>13.706947683984378</v>
      </c>
      <c r="S147" s="556">
        <f>+I147*(1+$B148)</f>
        <v>16.105663528681646</v>
      </c>
      <c r="U147" s="556">
        <f>+S147*(1+$B148)</f>
        <v>18.924154646200936</v>
      </c>
      <c r="V147" s="556">
        <f>+U147*(1+$B148)</f>
        <v>22.235881709286101</v>
      </c>
      <c r="W147" s="557">
        <f>+V147*(1+$B148)</f>
        <v>26.127161008411171</v>
      </c>
    </row>
    <row r="148" spans="2:23">
      <c r="B148" s="558">
        <v>0.17499999999999999</v>
      </c>
      <c r="W148" s="547"/>
    </row>
    <row r="149" spans="2:23">
      <c r="B149" s="549"/>
      <c r="V149" s="361">
        <f>+(V147-B147)/B147</f>
        <v>2.6333140047853103</v>
      </c>
      <c r="W149" s="547"/>
    </row>
    <row r="150" spans="2:23">
      <c r="B150" s="540"/>
      <c r="C150" s="525"/>
      <c r="D150" s="525"/>
      <c r="E150" s="525"/>
      <c r="F150" s="525"/>
      <c r="G150" s="525"/>
      <c r="H150" s="525"/>
      <c r="I150" s="525"/>
      <c r="S150" s="525"/>
      <c r="U150" s="525"/>
      <c r="V150" s="550" t="s">
        <v>890</v>
      </c>
      <c r="W150" s="541"/>
    </row>
    <row r="152" spans="2:23">
      <c r="B152" s="553">
        <v>2014</v>
      </c>
      <c r="C152" s="554">
        <v>2015</v>
      </c>
      <c r="D152" s="554">
        <v>2016</v>
      </c>
      <c r="E152" s="554">
        <v>2017</v>
      </c>
      <c r="F152" s="554"/>
      <c r="G152" s="533"/>
      <c r="H152" s="554">
        <v>2018</v>
      </c>
      <c r="I152" s="554">
        <v>2019</v>
      </c>
      <c r="S152" s="554">
        <v>2020</v>
      </c>
      <c r="U152" s="554">
        <v>2021</v>
      </c>
      <c r="V152" s="554">
        <v>2022</v>
      </c>
      <c r="W152" s="548">
        <v>2023</v>
      </c>
    </row>
    <row r="153" spans="2:23">
      <c r="B153" s="549">
        <v>289</v>
      </c>
      <c r="C153" s="362">
        <f>+B153*(1+$B154)</f>
        <v>335.529</v>
      </c>
      <c r="D153" s="362">
        <f>+C153*(1+$B154)</f>
        <v>389.54916900000001</v>
      </c>
      <c r="E153" s="362">
        <f>+D153*(1+$B154)</f>
        <v>452.26658520900003</v>
      </c>
      <c r="F153" s="362"/>
      <c r="H153" s="362">
        <f>+E153*(1+$B154)</f>
        <v>525.08150542764906</v>
      </c>
      <c r="I153" s="362">
        <f>+H153*(1+$B154)</f>
        <v>609.61962780150054</v>
      </c>
      <c r="S153" s="362">
        <f>+I153*(1+$B154)</f>
        <v>707.76838787754218</v>
      </c>
      <c r="U153" s="362">
        <f>+S153*(1+$B154)</f>
        <v>821.71909832582651</v>
      </c>
      <c r="V153" s="362">
        <f>+U153*(1+$B154)</f>
        <v>954.01587315628456</v>
      </c>
      <c r="W153" s="559">
        <f>+V153*(1+$B154)</f>
        <v>1107.6124287344464</v>
      </c>
    </row>
    <row r="154" spans="2:23">
      <c r="B154" s="549">
        <v>0.161</v>
      </c>
      <c r="W154" s="547"/>
    </row>
    <row r="155" spans="2:23">
      <c r="B155" s="549"/>
      <c r="V155" s="361">
        <f>+(V153-B153)/B153</f>
        <v>2.3010929866999468</v>
      </c>
      <c r="W155" s="547"/>
    </row>
    <row r="156" spans="2:23">
      <c r="B156" s="540"/>
      <c r="C156" s="525"/>
      <c r="D156" s="525"/>
      <c r="E156" s="525"/>
      <c r="F156" s="525"/>
      <c r="G156" s="525"/>
      <c r="H156" s="525"/>
      <c r="I156" s="525"/>
      <c r="S156" s="525"/>
      <c r="U156" s="525"/>
      <c r="V156" s="550" t="s">
        <v>890</v>
      </c>
      <c r="W156" s="541"/>
    </row>
    <row r="158" spans="2:23">
      <c r="B158" s="553">
        <v>2014</v>
      </c>
      <c r="C158" s="554">
        <v>2015</v>
      </c>
      <c r="D158" s="554">
        <v>2016</v>
      </c>
      <c r="E158" s="554">
        <v>2017</v>
      </c>
      <c r="F158" s="554"/>
      <c r="G158" s="533"/>
      <c r="H158" s="554">
        <v>2018</v>
      </c>
      <c r="I158" s="554">
        <v>2019</v>
      </c>
      <c r="S158" s="554">
        <v>2020</v>
      </c>
      <c r="U158" s="554">
        <v>2021</v>
      </c>
      <c r="V158" s="554">
        <v>2022</v>
      </c>
      <c r="W158" s="548">
        <v>2023</v>
      </c>
    </row>
    <row r="159" spans="2:23">
      <c r="B159" s="549">
        <v>289</v>
      </c>
      <c r="C159" s="362">
        <f>+B159*(1+$B160)</f>
        <v>335.23999999999995</v>
      </c>
      <c r="D159" s="362">
        <f>+C159*(1+$B160)</f>
        <v>388.87839999999994</v>
      </c>
      <c r="E159" s="362">
        <f>+D159*(1+$B160)</f>
        <v>451.0989439999999</v>
      </c>
      <c r="F159" s="362"/>
      <c r="H159" s="362">
        <f>+E159*(1+$B160)</f>
        <v>523.27477503999989</v>
      </c>
      <c r="I159" s="362">
        <f>+H159*(1+$B160)</f>
        <v>606.99873904639981</v>
      </c>
      <c r="S159" s="362">
        <f>+I159*(1+$B160)</f>
        <v>704.11853729382369</v>
      </c>
      <c r="U159" s="362">
        <f>+S159*(1+$B160)</f>
        <v>816.77750326083537</v>
      </c>
      <c r="V159" s="362">
        <f>+U159*(1+$B160)</f>
        <v>947.46190378256892</v>
      </c>
      <c r="W159" s="559">
        <f>+V159*(1+$B160)</f>
        <v>1099.05580838778</v>
      </c>
    </row>
    <row r="160" spans="2:23">
      <c r="B160" s="549">
        <v>0.16</v>
      </c>
      <c r="W160" s="547"/>
    </row>
    <row r="161" spans="2:23">
      <c r="B161" s="549"/>
      <c r="V161" s="361">
        <f>+(V159-B159)/B159</f>
        <v>2.2784148919812073</v>
      </c>
      <c r="W161" s="547"/>
    </row>
    <row r="162" spans="2:23">
      <c r="B162" s="540"/>
      <c r="C162" s="525"/>
      <c r="D162" s="525"/>
      <c r="E162" s="525"/>
      <c r="F162" s="525"/>
      <c r="G162" s="525"/>
      <c r="H162" s="525"/>
      <c r="I162" s="525"/>
      <c r="S162" s="525"/>
      <c r="U162" s="525"/>
      <c r="V162" s="550" t="s">
        <v>890</v>
      </c>
      <c r="W162" s="541"/>
    </row>
    <row r="169" spans="2:23" ht="21">
      <c r="C169" s="789" t="s">
        <v>1086</v>
      </c>
      <c r="D169" s="323"/>
      <c r="E169" s="323"/>
      <c r="F169" s="323"/>
    </row>
    <row r="170" spans="2:23">
      <c r="C170" t="s">
        <v>1301</v>
      </c>
    </row>
    <row r="172" spans="2:23">
      <c r="C172" s="2097" t="s">
        <v>1250</v>
      </c>
      <c r="D172" s="2098"/>
      <c r="E172" s="2099"/>
      <c r="F172" s="566"/>
      <c r="G172" s="580"/>
      <c r="H172" s="1092" t="s">
        <v>1303</v>
      </c>
      <c r="I172" s="1093"/>
      <c r="J172" s="580"/>
      <c r="K172" s="583"/>
      <c r="L172" s="2071" t="s">
        <v>1304</v>
      </c>
      <c r="M172" s="2072"/>
      <c r="N172" s="42"/>
      <c r="Q172" s="40" t="s">
        <v>171</v>
      </c>
    </row>
    <row r="173" spans="2:23">
      <c r="C173" s="502"/>
      <c r="D173" s="502" t="s">
        <v>1083</v>
      </c>
      <c r="E173" s="502" t="s">
        <v>826</v>
      </c>
      <c r="F173" s="501"/>
      <c r="G173" s="566"/>
      <c r="H173" s="502"/>
      <c r="I173" s="502" t="s">
        <v>1083</v>
      </c>
      <c r="J173" s="580"/>
      <c r="K173" s="567" t="s">
        <v>122</v>
      </c>
      <c r="L173" s="502" t="s">
        <v>825</v>
      </c>
      <c r="M173" s="502" t="s">
        <v>826</v>
      </c>
      <c r="N173" s="1087"/>
      <c r="O173" s="502" t="s">
        <v>158</v>
      </c>
      <c r="Q173" s="51" t="s">
        <v>170</v>
      </c>
      <c r="S173" s="502" t="s">
        <v>826</v>
      </c>
    </row>
    <row r="174" spans="2:23">
      <c r="C174" s="504" t="s">
        <v>1203</v>
      </c>
      <c r="D174" s="504" t="s">
        <v>16</v>
      </c>
      <c r="E174" s="504" t="s">
        <v>170</v>
      </c>
      <c r="F174" s="501"/>
      <c r="G174" s="566"/>
      <c r="H174" s="504" t="s">
        <v>1203</v>
      </c>
      <c r="I174" s="504" t="s">
        <v>16</v>
      </c>
      <c r="J174" s="580"/>
      <c r="K174" s="1088" t="s">
        <v>39</v>
      </c>
      <c r="L174" s="504" t="s">
        <v>1217</v>
      </c>
      <c r="M174" s="504" t="s">
        <v>170</v>
      </c>
      <c r="N174" s="1087"/>
      <c r="O174" s="504" t="s">
        <v>159</v>
      </c>
      <c r="Q174" s="51" t="s">
        <v>45</v>
      </c>
      <c r="S174" s="504" t="s">
        <v>170</v>
      </c>
    </row>
    <row r="175" spans="2:23">
      <c r="B175" s="735" t="s">
        <v>1061</v>
      </c>
      <c r="C175" s="736">
        <f>+C176*(1+D175)</f>
        <v>26.181570000000001</v>
      </c>
      <c r="D175" s="737">
        <v>0.03</v>
      </c>
      <c r="E175" s="738">
        <f t="shared" ref="E175:E186" si="34">+C175/O175*1000</f>
        <v>1168.8200892857144</v>
      </c>
      <c r="F175" s="1869"/>
      <c r="G175" s="581"/>
      <c r="H175" s="736">
        <f>+H176*(1+I175)</f>
        <v>26.424216000000001</v>
      </c>
      <c r="I175" s="737">
        <v>0.04</v>
      </c>
      <c r="J175" s="581"/>
      <c r="K175" s="739">
        <v>95.5</v>
      </c>
      <c r="L175" s="740">
        <f>+H175*0.045*1000</f>
        <v>1189.0897199999999</v>
      </c>
      <c r="M175" s="738">
        <f>+L175/O175</f>
        <v>53.084362499999997</v>
      </c>
      <c r="N175" s="53"/>
      <c r="O175" s="1086">
        <v>22.4</v>
      </c>
      <c r="Q175" s="46"/>
      <c r="S175" s="738">
        <f t="shared" ref="S175:S186" si="35">+H175/O175*1000</f>
        <v>1179.6525000000001</v>
      </c>
    </row>
    <row r="176" spans="2:23">
      <c r="B176" s="730" t="s">
        <v>1060</v>
      </c>
      <c r="C176" s="731">
        <f>+C177*(1+D176)</f>
        <v>25.419</v>
      </c>
      <c r="D176" s="732">
        <v>0.11</v>
      </c>
      <c r="E176" s="733">
        <f t="shared" si="34"/>
        <v>1119.7797356828194</v>
      </c>
      <c r="F176" s="1879"/>
      <c r="G176" s="581"/>
      <c r="H176" s="731">
        <f>+H177*(1+I176)</f>
        <v>25.407900000000001</v>
      </c>
      <c r="I176" s="732">
        <v>0.11</v>
      </c>
      <c r="J176" s="581"/>
      <c r="K176" s="982">
        <v>95</v>
      </c>
      <c r="L176" s="719">
        <f>+H176*0.05*1000</f>
        <v>1270.3950000000002</v>
      </c>
      <c r="M176" s="733">
        <f>+L176/O176</f>
        <v>55.964537444933931</v>
      </c>
      <c r="N176" s="53"/>
      <c r="O176" s="734">
        <v>22.7</v>
      </c>
      <c r="Q176" s="46"/>
      <c r="S176" s="733">
        <f t="shared" si="35"/>
        <v>1119.2907488986784</v>
      </c>
    </row>
    <row r="177" spans="2:19">
      <c r="B177" s="579" t="s">
        <v>815</v>
      </c>
      <c r="C177" s="575">
        <v>22.9</v>
      </c>
      <c r="D177" s="847">
        <v>6.5000000000000002E-2</v>
      </c>
      <c r="E177" s="569">
        <f t="shared" si="34"/>
        <v>995.65217391304338</v>
      </c>
      <c r="F177" s="1880"/>
      <c r="G177" s="581"/>
      <c r="H177" s="575">
        <f>+H178*(1+I177)</f>
        <v>22.89</v>
      </c>
      <c r="I177" s="561">
        <v>0.09</v>
      </c>
      <c r="J177" s="581"/>
      <c r="K177" s="568">
        <v>93.2</v>
      </c>
      <c r="L177" s="562">
        <f>+H177*0.055*1000</f>
        <v>1258.95</v>
      </c>
      <c r="M177" s="569">
        <f>+L177/O177</f>
        <v>54.736956521739131</v>
      </c>
      <c r="N177" s="53"/>
      <c r="O177" s="563">
        <v>23</v>
      </c>
      <c r="Q177" s="46"/>
      <c r="S177" s="569">
        <f t="shared" si="35"/>
        <v>995.21739130434787</v>
      </c>
    </row>
    <row r="178" spans="2:19">
      <c r="B178" s="26">
        <v>2022</v>
      </c>
      <c r="C178" s="576">
        <v>22.3</v>
      </c>
      <c r="D178" s="631">
        <f t="shared" ref="D178:D185" si="36">+(C178-C179)/C179</f>
        <v>0.25210555867490186</v>
      </c>
      <c r="E178" s="571">
        <f t="shared" si="34"/>
        <v>957.08154506437768</v>
      </c>
      <c r="F178" s="589"/>
      <c r="G178" s="581"/>
      <c r="H178" s="576">
        <v>21</v>
      </c>
      <c r="I178" s="631">
        <v>0.25</v>
      </c>
      <c r="J178" s="581"/>
      <c r="K178" s="570">
        <v>94.7</v>
      </c>
      <c r="L178" s="318">
        <v>1105</v>
      </c>
      <c r="M178" s="571">
        <f>+L178/O178</f>
        <v>47.42489270386266</v>
      </c>
      <c r="N178" s="53"/>
      <c r="O178" s="564">
        <v>23.3</v>
      </c>
      <c r="Q178" s="360">
        <v>594</v>
      </c>
      <c r="S178" s="571">
        <f t="shared" si="35"/>
        <v>901.28755364806864</v>
      </c>
    </row>
    <row r="179" spans="2:19">
      <c r="B179" s="26">
        <v>2021</v>
      </c>
      <c r="C179" s="576">
        <v>17.809999999999999</v>
      </c>
      <c r="D179" s="209">
        <f t="shared" si="36"/>
        <v>0.20991847826086943</v>
      </c>
      <c r="E179" s="571">
        <f t="shared" si="34"/>
        <v>745.18828451882848</v>
      </c>
      <c r="F179" s="589"/>
      <c r="G179" s="581"/>
      <c r="H179" s="576">
        <v>15.5</v>
      </c>
      <c r="I179" s="209">
        <f t="shared" ref="I179:I185" si="37">+(H179-H180)/H180</f>
        <v>0.11832611832611838</v>
      </c>
      <c r="J179" s="581"/>
      <c r="K179" s="983">
        <v>95</v>
      </c>
      <c r="L179" s="318">
        <v>801</v>
      </c>
      <c r="M179" s="571">
        <f t="shared" ref="M179:M183" si="38">+L179/26</f>
        <v>30.807692307692307</v>
      </c>
      <c r="N179" s="53"/>
      <c r="O179" s="564">
        <v>23.9</v>
      </c>
      <c r="Q179" s="360">
        <v>492</v>
      </c>
      <c r="S179" s="571">
        <f t="shared" si="35"/>
        <v>648.53556485355659</v>
      </c>
    </row>
    <row r="180" spans="2:19">
      <c r="B180" s="26">
        <v>2020</v>
      </c>
      <c r="C180" s="576">
        <v>14.72</v>
      </c>
      <c r="D180" s="209">
        <f t="shared" si="36"/>
        <v>0.11010558069381605</v>
      </c>
      <c r="E180" s="571">
        <f t="shared" si="34"/>
        <v>561.83206106870227</v>
      </c>
      <c r="F180" s="589"/>
      <c r="G180" s="581"/>
      <c r="H180" s="576">
        <v>13.86</v>
      </c>
      <c r="I180" s="209">
        <f t="shared" si="37"/>
        <v>0.10526315789473688</v>
      </c>
      <c r="J180" s="581"/>
      <c r="K180" s="570">
        <v>97.8</v>
      </c>
      <c r="L180" s="318">
        <v>308</v>
      </c>
      <c r="M180" s="571">
        <f t="shared" si="38"/>
        <v>11.846153846153847</v>
      </c>
      <c r="N180" s="53"/>
      <c r="O180" s="565">
        <v>26.2</v>
      </c>
      <c r="Q180" s="360">
        <v>341</v>
      </c>
      <c r="S180" s="571">
        <f t="shared" si="35"/>
        <v>529.00763358778624</v>
      </c>
    </row>
    <row r="181" spans="2:19">
      <c r="B181" s="26">
        <v>2019</v>
      </c>
      <c r="C181" s="576">
        <v>13.26</v>
      </c>
      <c r="D181" s="209">
        <f t="shared" si="36"/>
        <v>0.1031613976705491</v>
      </c>
      <c r="E181" s="571">
        <f t="shared" si="34"/>
        <v>494.77611940298505</v>
      </c>
      <c r="F181" s="589"/>
      <c r="G181" s="581"/>
      <c r="H181" s="576">
        <v>12.54</v>
      </c>
      <c r="I181" s="209">
        <f t="shared" si="37"/>
        <v>5.289672544080596E-2</v>
      </c>
      <c r="J181" s="581"/>
      <c r="K181" s="570">
        <v>96.9</v>
      </c>
      <c r="L181" s="318">
        <v>394.5</v>
      </c>
      <c r="M181" s="571">
        <f t="shared" si="38"/>
        <v>15.173076923076923</v>
      </c>
      <c r="N181" s="53"/>
      <c r="O181" s="565">
        <v>26.8</v>
      </c>
      <c r="Q181" s="360">
        <v>473</v>
      </c>
      <c r="S181" s="571">
        <f t="shared" si="35"/>
        <v>467.91044776119401</v>
      </c>
    </row>
    <row r="182" spans="2:19">
      <c r="B182" s="26">
        <v>2018</v>
      </c>
      <c r="C182" s="576">
        <v>12.02</v>
      </c>
      <c r="D182" s="493">
        <f t="shared" si="36"/>
        <v>0.20440881763527044</v>
      </c>
      <c r="E182" s="571">
        <f t="shared" si="34"/>
        <v>441.91176470588232</v>
      </c>
      <c r="F182" s="589"/>
      <c r="G182" s="581"/>
      <c r="H182" s="576">
        <v>11.91</v>
      </c>
      <c r="I182" s="493">
        <f t="shared" si="37"/>
        <v>0.22530864197530859</v>
      </c>
      <c r="J182" s="581"/>
      <c r="K182" s="570">
        <v>97.3</v>
      </c>
      <c r="L182" s="318">
        <v>318</v>
      </c>
      <c r="M182" s="571">
        <f t="shared" si="38"/>
        <v>12.23076923076923</v>
      </c>
      <c r="N182" s="53"/>
      <c r="O182" s="565">
        <v>27.2</v>
      </c>
      <c r="Q182" s="360">
        <v>445</v>
      </c>
      <c r="S182" s="571">
        <f t="shared" si="35"/>
        <v>437.86764705882354</v>
      </c>
    </row>
    <row r="183" spans="2:19">
      <c r="B183" s="26">
        <v>2017</v>
      </c>
      <c r="C183" s="576">
        <v>9.98</v>
      </c>
      <c r="D183" s="209">
        <f t="shared" si="36"/>
        <v>0.23362175525339934</v>
      </c>
      <c r="E183" s="571">
        <f t="shared" si="34"/>
        <v>358.99280575539569</v>
      </c>
      <c r="F183" s="589"/>
      <c r="G183" s="581"/>
      <c r="H183" s="576">
        <v>9.7200000000000006</v>
      </c>
      <c r="I183" s="209">
        <f t="shared" si="37"/>
        <v>0.23664122137404583</v>
      </c>
      <c r="J183" s="581"/>
      <c r="K183" s="570">
        <v>106.6</v>
      </c>
      <c r="L183" s="318">
        <v>-641.5</v>
      </c>
      <c r="M183" s="571">
        <f t="shared" si="38"/>
        <v>-24.673076923076923</v>
      </c>
      <c r="N183" s="53"/>
      <c r="O183" s="565">
        <v>27.8</v>
      </c>
      <c r="Q183" s="360">
        <v>521</v>
      </c>
      <c r="S183" s="571">
        <f t="shared" si="35"/>
        <v>349.64028776978415</v>
      </c>
    </row>
    <row r="184" spans="2:19">
      <c r="B184" s="26">
        <v>2016</v>
      </c>
      <c r="C184" s="576">
        <v>8.09</v>
      </c>
      <c r="D184" s="209">
        <f t="shared" si="36"/>
        <v>7.5797872340425579E-2</v>
      </c>
      <c r="E184" s="571">
        <f t="shared" si="34"/>
        <v>350.2164502164502</v>
      </c>
      <c r="F184" s="589"/>
      <c r="G184" s="581"/>
      <c r="H184" s="576">
        <v>7.86</v>
      </c>
      <c r="I184" s="209">
        <f t="shared" si="37"/>
        <v>6.6485753052917262E-2</v>
      </c>
      <c r="J184" s="581"/>
      <c r="K184" s="570">
        <v>92.5</v>
      </c>
      <c r="L184" s="318">
        <v>576</v>
      </c>
      <c r="M184" s="571">
        <f t="shared" ref="M184:M186" si="39">+L184/26</f>
        <v>22.153846153846153</v>
      </c>
      <c r="N184" s="53"/>
      <c r="O184" s="565">
        <v>23.1</v>
      </c>
      <c r="Q184" s="360">
        <v>487</v>
      </c>
      <c r="S184" s="571">
        <f t="shared" si="35"/>
        <v>340.25974025974028</v>
      </c>
    </row>
    <row r="185" spans="2:19">
      <c r="B185" s="26">
        <v>2015</v>
      </c>
      <c r="C185" s="576">
        <v>7.52</v>
      </c>
      <c r="D185" s="209">
        <f t="shared" si="36"/>
        <v>0.22875816993464043</v>
      </c>
      <c r="E185" s="571">
        <f t="shared" si="34"/>
        <v>338.73873873873873</v>
      </c>
      <c r="F185" s="589"/>
      <c r="G185" s="581"/>
      <c r="H185" s="576">
        <v>7.37</v>
      </c>
      <c r="I185" s="209">
        <f t="shared" si="37"/>
        <v>0.23244147157190628</v>
      </c>
      <c r="J185" s="581"/>
      <c r="K185" s="570">
        <v>89.9</v>
      </c>
      <c r="L185" s="318">
        <v>705</v>
      </c>
      <c r="M185" s="571">
        <f t="shared" si="39"/>
        <v>27.115384615384617</v>
      </c>
      <c r="N185" s="53"/>
      <c r="O185" s="565">
        <v>22.2</v>
      </c>
      <c r="Q185" s="360">
        <v>471</v>
      </c>
      <c r="S185" s="571">
        <f t="shared" si="35"/>
        <v>331.98198198198196</v>
      </c>
    </row>
    <row r="186" spans="2:19">
      <c r="B186" s="26">
        <v>2014</v>
      </c>
      <c r="C186" s="577">
        <v>6.12</v>
      </c>
      <c r="D186" s="578"/>
      <c r="E186" s="574">
        <f t="shared" si="34"/>
        <v>288.67924528301887</v>
      </c>
      <c r="F186" s="589"/>
      <c r="G186" s="581"/>
      <c r="H186" s="577">
        <v>5.98</v>
      </c>
      <c r="I186" s="578"/>
      <c r="J186" s="582"/>
      <c r="K186" s="572">
        <v>90.8</v>
      </c>
      <c r="L186" s="573">
        <v>552</v>
      </c>
      <c r="M186" s="574">
        <f t="shared" si="39"/>
        <v>21.23076923076923</v>
      </c>
      <c r="N186" s="53"/>
      <c r="O186" s="565">
        <v>21.2</v>
      </c>
      <c r="Q186" s="360">
        <v>511</v>
      </c>
      <c r="S186" s="574">
        <f t="shared" si="35"/>
        <v>282.07547169811323</v>
      </c>
    </row>
    <row r="188" spans="2:19">
      <c r="C188" s="11" t="s">
        <v>124</v>
      </c>
      <c r="K188">
        <f>SUM(K177:K187)</f>
        <v>954.69999999999993</v>
      </c>
      <c r="L188">
        <f>+K178+K179</f>
        <v>189.7</v>
      </c>
      <c r="M188" s="340">
        <f>+L188/2</f>
        <v>94.85</v>
      </c>
    </row>
    <row r="189" spans="2:19">
      <c r="B189" s="11" t="s">
        <v>891</v>
      </c>
    </row>
    <row r="190" spans="2:19">
      <c r="B190" s="48" t="s">
        <v>889</v>
      </c>
      <c r="C190" s="494">
        <f>+C178-C186</f>
        <v>16.18</v>
      </c>
      <c r="D190" s="552">
        <f>+C190/C186</f>
        <v>2.6437908496732025</v>
      </c>
      <c r="E190" s="495">
        <f>+(E178-E186)/E186</f>
        <v>2.3153805155824849</v>
      </c>
      <c r="F190" s="495"/>
      <c r="G190" s="129"/>
      <c r="H190" s="494">
        <f>+H178-H186</f>
        <v>15.02</v>
      </c>
      <c r="I190" s="496">
        <f>+H190/H186</f>
        <v>2.511705685618729</v>
      </c>
      <c r="J190" s="11"/>
      <c r="K190" s="497"/>
      <c r="L190" s="498">
        <f>+L178-L186</f>
        <v>553</v>
      </c>
      <c r="M190" s="495">
        <f>+(M178-M186)/M186</f>
        <v>1.2337811780804877</v>
      </c>
      <c r="N190" s="495"/>
      <c r="O190" s="47"/>
      <c r="P190" s="122"/>
      <c r="Q190" s="47"/>
    </row>
    <row r="195" spans="2:20">
      <c r="B195" s="11" t="s">
        <v>1249</v>
      </c>
    </row>
    <row r="196" spans="2:20">
      <c r="B196" t="s">
        <v>1357</v>
      </c>
    </row>
    <row r="197" spans="2:20">
      <c r="C197" s="48" t="s">
        <v>1250</v>
      </c>
      <c r="D197" s="122"/>
      <c r="E197" s="28"/>
      <c r="R197" s="123"/>
      <c r="T197" s="39" t="s">
        <v>959</v>
      </c>
    </row>
    <row r="198" spans="2:20">
      <c r="B198" s="300">
        <v>45291</v>
      </c>
      <c r="C198" s="305" t="s">
        <v>1203</v>
      </c>
      <c r="D198" s="2089" t="s">
        <v>1345</v>
      </c>
      <c r="E198" s="2090"/>
      <c r="F198" s="1881"/>
      <c r="R198" s="39" t="s">
        <v>1248</v>
      </c>
      <c r="S198" s="30"/>
      <c r="T198" s="39" t="s">
        <v>1247</v>
      </c>
    </row>
    <row r="199" spans="2:20">
      <c r="B199" s="26">
        <v>2014</v>
      </c>
      <c r="C199" s="1152">
        <v>6.12</v>
      </c>
      <c r="D199" s="1164"/>
      <c r="E199" s="60"/>
      <c r="R199" s="574">
        <f t="shared" ref="R199:R204" si="40">+C199/T199*1000</f>
        <v>288.67924528301887</v>
      </c>
      <c r="T199" s="986">
        <v>21.2</v>
      </c>
    </row>
    <row r="200" spans="2:20">
      <c r="B200" s="26">
        <v>2015</v>
      </c>
      <c r="C200" s="1153">
        <v>7.52</v>
      </c>
      <c r="D200" s="1160"/>
      <c r="E200" s="60"/>
      <c r="R200" s="574">
        <f t="shared" si="40"/>
        <v>338.73873873873873</v>
      </c>
      <c r="T200" s="565">
        <v>22.2</v>
      </c>
    </row>
    <row r="201" spans="2:20">
      <c r="B201" s="26">
        <v>2016</v>
      </c>
      <c r="C201" s="1153">
        <v>8.09</v>
      </c>
      <c r="D201" s="1160"/>
      <c r="E201" s="60"/>
      <c r="R201" s="574">
        <f t="shared" si="40"/>
        <v>350.2164502164502</v>
      </c>
      <c r="T201" s="565">
        <v>23.1</v>
      </c>
    </row>
    <row r="202" spans="2:20">
      <c r="B202" s="26">
        <v>2017</v>
      </c>
      <c r="C202" s="1153">
        <v>9.98</v>
      </c>
      <c r="D202" s="1160"/>
      <c r="E202" s="60"/>
      <c r="R202" s="574">
        <f t="shared" si="40"/>
        <v>358.99280575539569</v>
      </c>
      <c r="T202" s="565">
        <v>27.8</v>
      </c>
    </row>
    <row r="203" spans="2:20">
      <c r="B203" s="26">
        <v>2018</v>
      </c>
      <c r="C203" s="1154">
        <v>12.02</v>
      </c>
      <c r="D203" s="2106" t="s">
        <v>1365</v>
      </c>
      <c r="E203" s="2107"/>
      <c r="F203" s="1882"/>
      <c r="R203" s="989">
        <f t="shared" si="40"/>
        <v>441.91176470588232</v>
      </c>
      <c r="T203" s="990">
        <v>27.2</v>
      </c>
    </row>
    <row r="204" spans="2:20">
      <c r="B204" s="26">
        <v>2019</v>
      </c>
      <c r="C204" s="1153">
        <v>13.26</v>
      </c>
      <c r="D204" s="1161">
        <f>+C204-C199</f>
        <v>7.14</v>
      </c>
      <c r="E204" s="1162">
        <f>+D204/C199</f>
        <v>1.1666666666666665</v>
      </c>
      <c r="F204" s="1883"/>
      <c r="R204" s="574">
        <f t="shared" si="40"/>
        <v>494.77611940298505</v>
      </c>
      <c r="T204" s="565">
        <v>26.8</v>
      </c>
    </row>
    <row r="205" spans="2:20">
      <c r="B205" s="26"/>
      <c r="C205" s="1153"/>
      <c r="D205" s="1157"/>
      <c r="R205" s="574"/>
      <c r="T205" s="565"/>
    </row>
    <row r="206" spans="2:20">
      <c r="B206" s="26">
        <v>2020</v>
      </c>
      <c r="C206" s="1153">
        <v>14.72</v>
      </c>
      <c r="D206" s="1159"/>
      <c r="E206" s="18"/>
      <c r="R206" s="574">
        <f>+C206/T206*1000</f>
        <v>561.83206106870227</v>
      </c>
      <c r="T206" s="565">
        <v>26.2</v>
      </c>
    </row>
    <row r="207" spans="2:20">
      <c r="B207" s="26">
        <v>2021</v>
      </c>
      <c r="C207" s="1153">
        <v>17.809999999999999</v>
      </c>
      <c r="D207" s="1158"/>
      <c r="E207" s="60"/>
      <c r="R207" s="574">
        <f>+C207/T207*1000</f>
        <v>745.18828451882848</v>
      </c>
      <c r="T207" s="564">
        <v>23.9</v>
      </c>
    </row>
    <row r="208" spans="2:20">
      <c r="B208" s="14">
        <v>2022</v>
      </c>
      <c r="C208" s="1154">
        <v>22.3</v>
      </c>
      <c r="D208" s="1160"/>
      <c r="E208" s="60"/>
      <c r="R208" s="989">
        <f>+C208/T208*1000</f>
        <v>957.08154506437768</v>
      </c>
      <c r="T208" s="997">
        <v>23.3</v>
      </c>
    </row>
    <row r="209" spans="2:20">
      <c r="B209" s="579" t="s">
        <v>815</v>
      </c>
      <c r="C209" s="1155">
        <v>23.7</v>
      </c>
      <c r="D209" s="2108" t="s">
        <v>1366</v>
      </c>
      <c r="E209" s="2109"/>
      <c r="F209" s="1884"/>
      <c r="R209" s="999">
        <f>+C209/T209*1000</f>
        <v>1030.4347826086957</v>
      </c>
      <c r="T209" s="563">
        <v>23</v>
      </c>
    </row>
    <row r="210" spans="2:20">
      <c r="B210" s="746" t="s">
        <v>1060</v>
      </c>
      <c r="C210" s="1156">
        <v>26.4</v>
      </c>
      <c r="D210" s="1163">
        <f>+C210-C199</f>
        <v>20.279999999999998</v>
      </c>
      <c r="E210" s="1162">
        <f>+D210/C199</f>
        <v>3.3137254901960778</v>
      </c>
      <c r="F210" s="1883"/>
      <c r="R210" s="994">
        <f>+R209-R199</f>
        <v>741.75553732567687</v>
      </c>
      <c r="S210" s="47"/>
      <c r="T210" s="995">
        <f>+T209-T199</f>
        <v>1.8000000000000007</v>
      </c>
    </row>
    <row r="211" spans="2:20">
      <c r="R211" s="993">
        <f>+R210/R199</f>
        <v>2.5694799658994034</v>
      </c>
      <c r="S211" s="47"/>
      <c r="T211" s="993">
        <f>+T210/T199</f>
        <v>8.4905660377358527E-2</v>
      </c>
    </row>
    <row r="212" spans="2:20">
      <c r="R212" s="998">
        <v>0.151</v>
      </c>
      <c r="S212" s="47"/>
      <c r="T212" s="998">
        <v>9.1999999999999998E-3</v>
      </c>
    </row>
    <row r="213" spans="2:20">
      <c r="B213" s="992" t="s">
        <v>1358</v>
      </c>
      <c r="C213" s="991">
        <f>+C209-C199</f>
        <v>17.579999999999998</v>
      </c>
      <c r="D213" s="47"/>
    </row>
    <row r="214" spans="2:20">
      <c r="B214" s="992" t="s">
        <v>39</v>
      </c>
      <c r="C214" s="993">
        <f>+C213/C199</f>
        <v>2.8725490196078427</v>
      </c>
      <c r="D214" s="47"/>
      <c r="R214" s="719">
        <f>+C210/T214*1000</f>
        <v>1162.9955947136564</v>
      </c>
      <c r="T214" s="849">
        <v>22.7</v>
      </c>
    </row>
    <row r="215" spans="2:20">
      <c r="B215" s="992" t="s">
        <v>1251</v>
      </c>
      <c r="C215" s="998">
        <v>0.16200000000000001</v>
      </c>
      <c r="D215" s="47"/>
      <c r="R215" s="991">
        <f>+R214-R199</f>
        <v>874.3163494306375</v>
      </c>
      <c r="S215" s="47"/>
      <c r="T215" s="1000">
        <f>+T214-T199</f>
        <v>1.5</v>
      </c>
    </row>
    <row r="216" spans="2:20">
      <c r="R216" s="993">
        <f>+R215/R199</f>
        <v>3.0286775503152801</v>
      </c>
      <c r="S216" s="47"/>
      <c r="T216" s="993">
        <f>+T215/T199</f>
        <v>7.0754716981132074E-2</v>
      </c>
    </row>
    <row r="217" spans="2:20">
      <c r="R217" s="998">
        <v>0.15</v>
      </c>
      <c r="S217" s="47"/>
      <c r="T217" s="998">
        <v>7.0000000000000001E-3</v>
      </c>
    </row>
    <row r="218" spans="2:20">
      <c r="B218" s="992" t="s">
        <v>1252</v>
      </c>
      <c r="C218" s="991">
        <f>+C210-C199</f>
        <v>20.279999999999998</v>
      </c>
      <c r="D218" s="47"/>
    </row>
    <row r="219" spans="2:20">
      <c r="B219" s="992" t="s">
        <v>39</v>
      </c>
      <c r="C219" s="993">
        <f>+C218/C199</f>
        <v>3.3137254901960778</v>
      </c>
      <c r="D219" s="47"/>
    </row>
    <row r="220" spans="2:20">
      <c r="B220" s="992" t="s">
        <v>1251</v>
      </c>
      <c r="C220" s="998">
        <v>0.157</v>
      </c>
      <c r="D220" s="47"/>
    </row>
    <row r="223" spans="2:20">
      <c r="B223" s="11" t="s">
        <v>1764</v>
      </c>
      <c r="H223" s="863" t="s">
        <v>1302</v>
      </c>
    </row>
    <row r="224" spans="2:20">
      <c r="C224" s="2091" t="s">
        <v>19</v>
      </c>
      <c r="D224" s="2095"/>
      <c r="E224" s="2096" t="s">
        <v>1107</v>
      </c>
      <c r="F224" s="2093"/>
      <c r="G224" s="2093"/>
      <c r="H224" s="1499" t="s">
        <v>959</v>
      </c>
    </row>
    <row r="225" spans="2:8">
      <c r="B225" s="300">
        <v>45291</v>
      </c>
      <c r="C225" s="829" t="s">
        <v>1458</v>
      </c>
      <c r="D225" s="1480" t="s">
        <v>39</v>
      </c>
      <c r="E225" s="1222" t="s">
        <v>984</v>
      </c>
      <c r="F225" s="1221"/>
      <c r="G225" s="1221" t="s">
        <v>39</v>
      </c>
      <c r="H225" s="1320" t="s">
        <v>1459</v>
      </c>
    </row>
    <row r="226" spans="2:8">
      <c r="B226" s="26">
        <v>2019</v>
      </c>
      <c r="C226" s="731">
        <v>13.26</v>
      </c>
      <c r="D226" s="1485"/>
      <c r="E226" s="1489">
        <f t="shared" ref="E226:E231" si="41">+C226/H226*1000</f>
        <v>494.77611940298505</v>
      </c>
      <c r="F226" s="1363"/>
      <c r="G226" s="650"/>
      <c r="H226" s="1498">
        <v>26.8</v>
      </c>
    </row>
    <row r="227" spans="2:8">
      <c r="B227" s="26">
        <v>2020</v>
      </c>
      <c r="C227" s="731">
        <v>14.72</v>
      </c>
      <c r="D227" s="850">
        <f t="shared" ref="D227:D231" si="42">+(C227-C226)/C226</f>
        <v>0.11010558069381605</v>
      </c>
      <c r="E227" s="1490">
        <f t="shared" si="41"/>
        <v>561.83206106870227</v>
      </c>
      <c r="F227" s="1885"/>
      <c r="G227" s="1219">
        <f>+(E227-E226)/E226</f>
        <v>0.13552784590054462</v>
      </c>
      <c r="H227" s="1494">
        <v>26.2</v>
      </c>
    </row>
    <row r="228" spans="2:8">
      <c r="B228" s="26">
        <v>2021</v>
      </c>
      <c r="C228" s="731">
        <v>17.809999999999999</v>
      </c>
      <c r="D228" s="850">
        <f t="shared" si="42"/>
        <v>0.20991847826086943</v>
      </c>
      <c r="E228" s="1490">
        <f t="shared" si="41"/>
        <v>745.18828451882848</v>
      </c>
      <c r="F228" s="1885"/>
      <c r="G228" s="1219">
        <f>+(E228-E227)/E227</f>
        <v>0.3263541477169366</v>
      </c>
      <c r="H228" s="741">
        <v>23.9</v>
      </c>
    </row>
    <row r="229" spans="2:8">
      <c r="B229" s="14">
        <v>2022</v>
      </c>
      <c r="C229" s="1309">
        <v>22.3</v>
      </c>
      <c r="D229" s="1501">
        <f t="shared" si="42"/>
        <v>0.25210555867490186</v>
      </c>
      <c r="E229" s="1491">
        <f t="shared" si="41"/>
        <v>957.08154506437768</v>
      </c>
      <c r="F229" s="1885"/>
      <c r="G229" s="1502">
        <f>+(E229-E228)/E228</f>
        <v>0.28434862027168029</v>
      </c>
      <c r="H229" s="1495">
        <v>23.3</v>
      </c>
    </row>
    <row r="230" spans="2:8">
      <c r="B230" s="26">
        <v>2023</v>
      </c>
      <c r="C230" s="731">
        <v>22.9</v>
      </c>
      <c r="D230" s="1501">
        <f t="shared" si="42"/>
        <v>2.690582959641246E-2</v>
      </c>
      <c r="E230" s="1490">
        <f t="shared" si="41"/>
        <v>995.65217391304338</v>
      </c>
      <c r="F230" s="1885"/>
      <c r="G230" s="1502">
        <f>+(E230-E229)/E229</f>
        <v>4.0300253460713496E-2</v>
      </c>
      <c r="H230" s="1495">
        <v>23</v>
      </c>
    </row>
    <row r="231" spans="2:8">
      <c r="B231" s="45" t="s">
        <v>1060</v>
      </c>
      <c r="C231" s="848">
        <v>25.4</v>
      </c>
      <c r="D231" s="850">
        <f t="shared" si="42"/>
        <v>0.1091703056768559</v>
      </c>
      <c r="E231" s="765">
        <f t="shared" si="41"/>
        <v>1170.5069124423962</v>
      </c>
      <c r="F231" s="765"/>
      <c r="G231" s="1219">
        <f>+(E231-E230)/E230</f>
        <v>0.17561829633952472</v>
      </c>
      <c r="H231" s="1496">
        <v>21.7</v>
      </c>
    </row>
    <row r="232" spans="2:8" ht="7" customHeight="1">
      <c r="B232" s="27"/>
      <c r="C232" s="1497"/>
      <c r="D232" s="254"/>
      <c r="E232" s="64"/>
      <c r="F232" s="64"/>
      <c r="G232" s="254"/>
      <c r="H232" s="612"/>
    </row>
    <row r="233" spans="2:8">
      <c r="B233" s="1484" t="s">
        <v>1757</v>
      </c>
      <c r="C233" s="1486">
        <f>+C231-C226</f>
        <v>12.139999999999999</v>
      </c>
      <c r="D233" s="1487">
        <f>+C233/C226</f>
        <v>0.91553544494720962</v>
      </c>
      <c r="E233" s="765">
        <f>+E231-E226</f>
        <v>675.7307930394112</v>
      </c>
      <c r="F233" s="765"/>
      <c r="G233" s="1492">
        <f>+E233/E226</f>
        <v>1.3657304112712083</v>
      </c>
      <c r="H233" s="1459"/>
    </row>
    <row r="234" spans="2:8">
      <c r="B234" s="515" t="s">
        <v>1759</v>
      </c>
      <c r="C234" s="28"/>
      <c r="D234" s="1488">
        <v>0.13800000000000001</v>
      </c>
      <c r="E234" s="46"/>
      <c r="F234" s="46"/>
      <c r="G234" s="1493">
        <v>0.188</v>
      </c>
      <c r="H234" s="1460"/>
    </row>
    <row r="237" spans="2:8">
      <c r="B237" s="11" t="s">
        <v>1766</v>
      </c>
    </row>
    <row r="238" spans="2:8">
      <c r="G238" s="863" t="s">
        <v>1302</v>
      </c>
    </row>
    <row r="239" spans="2:8">
      <c r="D239" s="2093" t="s">
        <v>1304</v>
      </c>
      <c r="E239" s="2094"/>
      <c r="F239" s="1886"/>
      <c r="G239" s="1499" t="s">
        <v>959</v>
      </c>
    </row>
    <row r="240" spans="2:8">
      <c r="B240" s="300" t="s">
        <v>918</v>
      </c>
      <c r="C240" s="829" t="s">
        <v>122</v>
      </c>
      <c r="D240" s="1222" t="s">
        <v>1667</v>
      </c>
      <c r="E240" s="1500" t="s">
        <v>1767</v>
      </c>
      <c r="F240" s="1887"/>
      <c r="G240" s="1320" t="s">
        <v>1459</v>
      </c>
    </row>
    <row r="241" spans="2:9">
      <c r="B241" s="26">
        <v>2019</v>
      </c>
      <c r="C241" s="1504">
        <v>96.9</v>
      </c>
      <c r="D241" s="765">
        <v>394.5</v>
      </c>
      <c r="E241" s="1505">
        <f t="shared" ref="E241:E246" si="43">+D241/G241</f>
        <v>14.720149253731343</v>
      </c>
      <c r="F241" s="1870"/>
      <c r="G241" s="1498">
        <v>26.8</v>
      </c>
    </row>
    <row r="242" spans="2:9">
      <c r="B242" s="26">
        <v>2020</v>
      </c>
      <c r="C242" s="1504">
        <v>97.8</v>
      </c>
      <c r="D242" s="765">
        <v>308</v>
      </c>
      <c r="E242" s="1505">
        <f t="shared" si="43"/>
        <v>11.755725190839694</v>
      </c>
      <c r="F242" s="1870"/>
      <c r="G242" s="1494">
        <v>26.2</v>
      </c>
    </row>
    <row r="243" spans="2:9">
      <c r="B243" s="26">
        <v>2021</v>
      </c>
      <c r="C243" s="1503">
        <v>95</v>
      </c>
      <c r="D243" s="765">
        <v>801</v>
      </c>
      <c r="E243" s="1505">
        <f t="shared" si="43"/>
        <v>33.51464435146444</v>
      </c>
      <c r="F243" s="1870"/>
      <c r="G243" s="741">
        <v>23.9</v>
      </c>
    </row>
    <row r="244" spans="2:9">
      <c r="B244" s="14">
        <v>2022</v>
      </c>
      <c r="C244" s="1504">
        <v>94.7</v>
      </c>
      <c r="D244" s="765">
        <v>1105</v>
      </c>
      <c r="E244" s="1505">
        <f t="shared" si="43"/>
        <v>47.42489270386266</v>
      </c>
      <c r="F244" s="1870"/>
      <c r="G244" s="741">
        <v>23.3</v>
      </c>
    </row>
    <row r="245" spans="2:9">
      <c r="B245" s="26">
        <v>2023</v>
      </c>
      <c r="C245" s="1503">
        <v>93.2</v>
      </c>
      <c r="D245" s="765">
        <v>1522.2</v>
      </c>
      <c r="E245" s="1505">
        <f t="shared" si="43"/>
        <v>66.182608695652178</v>
      </c>
      <c r="F245" s="1870"/>
      <c r="G245" s="741">
        <v>23</v>
      </c>
    </row>
    <row r="246" spans="2:9">
      <c r="B246" s="45" t="s">
        <v>1060</v>
      </c>
      <c r="C246" s="1503">
        <v>94</v>
      </c>
      <c r="D246" s="765">
        <v>1479</v>
      </c>
      <c r="E246" s="1505">
        <f t="shared" si="43"/>
        <v>68.156682027649765</v>
      </c>
      <c r="F246" s="1870"/>
      <c r="G246" s="741">
        <v>21.7</v>
      </c>
    </row>
    <row r="247" spans="2:9" ht="7" customHeight="1">
      <c r="B247" s="15"/>
      <c r="C247" s="30"/>
      <c r="D247" s="57"/>
      <c r="E247" s="57"/>
      <c r="F247" s="53"/>
      <c r="G247" s="1506"/>
    </row>
    <row r="248" spans="2:9">
      <c r="B248" s="334" t="s">
        <v>1757</v>
      </c>
      <c r="C248" s="18"/>
      <c r="D248" s="318">
        <f>+D246-D241</f>
        <v>1084.5</v>
      </c>
      <c r="E248" s="318">
        <f>+E246-E241</f>
        <v>53.436532773918422</v>
      </c>
      <c r="F248" s="53"/>
    </row>
    <row r="249" spans="2:9">
      <c r="B249" s="517"/>
      <c r="C249" s="23"/>
      <c r="D249" s="209">
        <f>+D248/D241</f>
        <v>2.7490494296577945</v>
      </c>
      <c r="E249" s="209">
        <f>+E248/E241</f>
        <v>3.6301624292547876</v>
      </c>
      <c r="F249" s="361"/>
    </row>
    <row r="250" spans="2:9">
      <c r="B250" s="50" t="s">
        <v>1759</v>
      </c>
      <c r="C250" s="28"/>
      <c r="D250" s="490">
        <v>0.30199999999999999</v>
      </c>
      <c r="E250" s="209">
        <v>0.35299999999999998</v>
      </c>
      <c r="F250" s="361"/>
    </row>
    <row r="251" spans="2:9" ht="7" customHeight="1"/>
    <row r="252" spans="2:9">
      <c r="B252" s="45" t="s">
        <v>1765</v>
      </c>
      <c r="C252" s="45">
        <v>95.3</v>
      </c>
    </row>
    <row r="256" spans="2:9">
      <c r="C256" s="11" t="s">
        <v>2035</v>
      </c>
      <c r="I256" s="1245" t="s">
        <v>1109</v>
      </c>
    </row>
    <row r="257" spans="3:9">
      <c r="D257" s="2091" t="s">
        <v>2032</v>
      </c>
      <c r="E257" s="2092"/>
      <c r="F257" s="1868"/>
      <c r="G257" s="2089" t="s">
        <v>2033</v>
      </c>
      <c r="H257" s="2090"/>
      <c r="I257" s="1622" t="s">
        <v>959</v>
      </c>
    </row>
    <row r="258" spans="3:9">
      <c r="C258" s="300">
        <v>45291</v>
      </c>
      <c r="D258" s="829" t="s">
        <v>2034</v>
      </c>
      <c r="E258" s="829" t="s">
        <v>1107</v>
      </c>
      <c r="F258" s="829"/>
      <c r="G258" s="981" t="s">
        <v>2034</v>
      </c>
      <c r="H258" s="981" t="s">
        <v>1107</v>
      </c>
      <c r="I258" s="1222" t="s">
        <v>1459</v>
      </c>
    </row>
    <row r="259" spans="3:9">
      <c r="C259" s="26">
        <v>2014</v>
      </c>
      <c r="D259" s="1703">
        <v>6.12</v>
      </c>
      <c r="E259" s="1704">
        <f>+D259/I259*1000</f>
        <v>288.67924528301887</v>
      </c>
      <c r="F259" s="1888"/>
      <c r="G259" s="1707">
        <v>11.6</v>
      </c>
      <c r="H259" s="740">
        <f>+G259/I259*1000</f>
        <v>547.16981132075466</v>
      </c>
      <c r="I259" s="978">
        <v>21.2</v>
      </c>
    </row>
    <row r="260" spans="3:9">
      <c r="C260" s="26">
        <v>2018</v>
      </c>
      <c r="D260" s="1309">
        <v>12.02</v>
      </c>
      <c r="E260" s="1705">
        <f>+D260/I260*1000</f>
        <v>441.91176470588232</v>
      </c>
      <c r="F260" s="1310"/>
      <c r="G260" s="868">
        <v>19.5</v>
      </c>
      <c r="H260" s="740">
        <f t="shared" ref="H260:H261" si="44">+G260/I260*1000</f>
        <v>716.91176470588232</v>
      </c>
      <c r="I260" s="978">
        <v>27.2</v>
      </c>
    </row>
    <row r="261" spans="3:9">
      <c r="C261" s="26">
        <v>2024</v>
      </c>
      <c r="D261" s="1706">
        <v>25.3</v>
      </c>
      <c r="E261" s="719">
        <f>+D261/I261*1000</f>
        <v>1165.8986175115208</v>
      </c>
      <c r="F261" s="719"/>
      <c r="G261" s="868">
        <v>35.4</v>
      </c>
      <c r="H261" s="740">
        <f t="shared" si="44"/>
        <v>1631.3364055299539</v>
      </c>
      <c r="I261" s="978">
        <v>21.7</v>
      </c>
    </row>
    <row r="262" spans="3:9">
      <c r="C262" s="132" t="s">
        <v>2029</v>
      </c>
      <c r="D262" s="1537"/>
      <c r="E262" s="793">
        <f>+E261-E259</f>
        <v>877.21937222850192</v>
      </c>
      <c r="F262" s="1889"/>
      <c r="H262" s="1359">
        <f>+H261-H259</f>
        <v>1084.1665942091993</v>
      </c>
      <c r="I262" s="778">
        <f>+I261-I259</f>
        <v>0.5</v>
      </c>
    </row>
    <row r="263" spans="3:9">
      <c r="C263" s="145"/>
      <c r="D263" s="103"/>
      <c r="E263" s="1313">
        <f>+E262/E259</f>
        <v>3.0387337730791244</v>
      </c>
      <c r="F263" s="1890"/>
      <c r="H263" s="1322">
        <f>+H262/H259</f>
        <v>1.9814079135547438</v>
      </c>
      <c r="I263" s="1702">
        <f>+I262/I259</f>
        <v>2.358490566037736E-2</v>
      </c>
    </row>
    <row r="264" spans="3:9">
      <c r="C264" s="48" t="s">
        <v>2030</v>
      </c>
      <c r="D264" s="47"/>
      <c r="E264" s="1277">
        <v>0.153</v>
      </c>
      <c r="F264" s="1891"/>
      <c r="H264" s="1323">
        <v>0.115</v>
      </c>
    </row>
  </sheetData>
  <mergeCells count="25">
    <mergeCell ref="AA93:AB93"/>
    <mergeCell ref="AA101:AB101"/>
    <mergeCell ref="D198:E198"/>
    <mergeCell ref="D203:E203"/>
    <mergeCell ref="D209:E209"/>
    <mergeCell ref="B98:G98"/>
    <mergeCell ref="L5:M5"/>
    <mergeCell ref="C172:E172"/>
    <mergeCell ref="L172:M172"/>
    <mergeCell ref="H5:I5"/>
    <mergeCell ref="C84:E84"/>
    <mergeCell ref="C111:E111"/>
    <mergeCell ref="C131:D131"/>
    <mergeCell ref="C132:D132"/>
    <mergeCell ref="B107:C107"/>
    <mergeCell ref="C5:F5"/>
    <mergeCell ref="C27:F27"/>
    <mergeCell ref="H27:I27"/>
    <mergeCell ref="L27:M27"/>
    <mergeCell ref="D64:E64"/>
    <mergeCell ref="G257:H257"/>
    <mergeCell ref="D257:E257"/>
    <mergeCell ref="D239:E239"/>
    <mergeCell ref="C224:D224"/>
    <mergeCell ref="E224:G224"/>
  </mergeCells>
  <phoneticPr fontId="16" type="noConversion"/>
  <printOptions gridLines="1"/>
  <pageMargins left="0.75000000000000011" right="0.75000000000000011" top="1" bottom="1" header="0.5" footer="0.5"/>
  <pageSetup scale="64" orientation="landscape" horizontalDpi="4294967292" verticalDpi="4294967292"/>
  <ignoredErrors>
    <ignoredError sqref="S83" numberStoredAsText="1"/>
    <ignoredError sqref="E227:E231 D233:E233 E101:E105 G106 D106:E106 D58:E58" formula="1"/>
  </ignoredErrors>
  <extLst>
    <ext xmlns:mx="http://schemas.microsoft.com/office/mac/excel/2008/main" uri="{64002731-A6B0-56B0-2670-7721B7C09600}">
      <mx:PLV Mode="0" OnePage="0" WScale="10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55E38-AF1D-BF4E-A682-8B5F9A18492B}">
  <dimension ref="C5:T59"/>
  <sheetViews>
    <sheetView workbookViewId="0">
      <selection activeCell="D3" sqref="D3"/>
    </sheetView>
  </sheetViews>
  <sheetFormatPr baseColWidth="10" defaultRowHeight="16"/>
  <cols>
    <col min="4" max="4" width="10.83203125" customWidth="1"/>
    <col min="5" max="12" width="7.33203125" customWidth="1"/>
    <col min="13" max="20" width="7.6640625" customWidth="1"/>
  </cols>
  <sheetData>
    <row r="5" spans="3:20">
      <c r="E5" s="2071" t="s">
        <v>1778</v>
      </c>
      <c r="F5" s="2077"/>
      <c r="G5" s="2077"/>
      <c r="H5" s="2072"/>
      <c r="I5" s="2091" t="s">
        <v>1779</v>
      </c>
      <c r="J5" s="2095"/>
      <c r="K5" s="2092"/>
      <c r="L5" s="2071" t="s">
        <v>1780</v>
      </c>
      <c r="M5" s="2077"/>
      <c r="N5" s="2072"/>
      <c r="O5" s="2091" t="s">
        <v>1781</v>
      </c>
      <c r="P5" s="2095"/>
      <c r="Q5" s="2092"/>
      <c r="R5" s="2071" t="s">
        <v>1782</v>
      </c>
      <c r="S5" s="2077"/>
      <c r="T5" s="2072"/>
    </row>
    <row r="6" spans="3:20">
      <c r="E6" s="116"/>
      <c r="F6" s="40"/>
      <c r="G6" s="40"/>
      <c r="H6" s="40" t="s">
        <v>1777</v>
      </c>
      <c r="I6" s="1090"/>
      <c r="J6" s="1090"/>
      <c r="K6" s="1090" t="s">
        <v>1777</v>
      </c>
      <c r="L6" s="40"/>
      <c r="M6" s="40"/>
      <c r="N6" s="40" t="s">
        <v>1777</v>
      </c>
      <c r="O6" s="1090"/>
      <c r="P6" s="1090"/>
      <c r="Q6" s="1090" t="s">
        <v>1777</v>
      </c>
      <c r="R6" s="40"/>
      <c r="S6" s="40"/>
      <c r="T6" s="40" t="s">
        <v>1777</v>
      </c>
    </row>
    <row r="7" spans="3:20">
      <c r="E7" s="51" t="s">
        <v>1783</v>
      </c>
      <c r="F7" s="51"/>
      <c r="G7" s="51" t="s">
        <v>1775</v>
      </c>
      <c r="H7" s="51" t="s">
        <v>1775</v>
      </c>
      <c r="I7" s="1096"/>
      <c r="J7" s="1096" t="s">
        <v>1775</v>
      </c>
      <c r="K7" s="1096" t="s">
        <v>1775</v>
      </c>
      <c r="L7" s="51"/>
      <c r="M7" s="51" t="s">
        <v>1775</v>
      </c>
      <c r="N7" s="51" t="s">
        <v>1775</v>
      </c>
      <c r="O7" s="1096"/>
      <c r="P7" s="1096" t="s">
        <v>1775</v>
      </c>
      <c r="Q7" s="1096" t="s">
        <v>1775</v>
      </c>
      <c r="R7" s="51"/>
      <c r="S7" s="51" t="s">
        <v>1775</v>
      </c>
      <c r="T7" s="51" t="s">
        <v>1775</v>
      </c>
    </row>
    <row r="8" spans="3:20">
      <c r="E8" s="41" t="s">
        <v>825</v>
      </c>
      <c r="F8" s="41" t="s">
        <v>122</v>
      </c>
      <c r="G8" s="41" t="s">
        <v>1776</v>
      </c>
      <c r="H8" s="41" t="s">
        <v>1776</v>
      </c>
      <c r="I8" s="1091" t="s">
        <v>122</v>
      </c>
      <c r="J8" s="1091" t="s">
        <v>1776</v>
      </c>
      <c r="K8" s="1091" t="s">
        <v>1776</v>
      </c>
      <c r="L8" s="41" t="s">
        <v>122</v>
      </c>
      <c r="M8" s="41" t="s">
        <v>1776</v>
      </c>
      <c r="N8" s="41" t="s">
        <v>1776</v>
      </c>
      <c r="O8" s="1091" t="s">
        <v>122</v>
      </c>
      <c r="P8" s="1091" t="s">
        <v>1776</v>
      </c>
      <c r="Q8" s="1091" t="s">
        <v>1776</v>
      </c>
      <c r="R8" s="41" t="s">
        <v>122</v>
      </c>
      <c r="S8" s="41" t="s">
        <v>1776</v>
      </c>
      <c r="T8" s="41" t="s">
        <v>1776</v>
      </c>
    </row>
    <row r="9" spans="3:20">
      <c r="C9" s="50" t="s">
        <v>1772</v>
      </c>
      <c r="D9" s="28"/>
      <c r="E9" s="1168">
        <v>180</v>
      </c>
      <c r="F9" s="761">
        <v>0.91</v>
      </c>
      <c r="G9" s="761">
        <v>0.01</v>
      </c>
      <c r="H9" s="761">
        <v>0.91</v>
      </c>
      <c r="I9" s="766">
        <v>0.89</v>
      </c>
      <c r="J9" s="766">
        <v>0.02</v>
      </c>
      <c r="K9" s="766">
        <v>0.87</v>
      </c>
      <c r="L9" s="761">
        <v>0.89</v>
      </c>
      <c r="M9" s="761">
        <v>0</v>
      </c>
      <c r="N9" s="761">
        <v>0</v>
      </c>
      <c r="O9" s="766">
        <v>0</v>
      </c>
      <c r="P9" s="766">
        <v>0</v>
      </c>
      <c r="Q9" s="766">
        <v>0</v>
      </c>
      <c r="R9" s="761">
        <v>0</v>
      </c>
      <c r="S9" s="761">
        <v>0</v>
      </c>
      <c r="T9" s="761">
        <v>0</v>
      </c>
    </row>
    <row r="10" spans="3:20">
      <c r="C10" s="50" t="s">
        <v>503</v>
      </c>
      <c r="D10" s="28"/>
      <c r="E10" s="1168">
        <v>87</v>
      </c>
      <c r="F10" s="761">
        <v>0.98</v>
      </c>
      <c r="G10" s="761">
        <v>0.03</v>
      </c>
      <c r="H10" s="761">
        <v>0.94</v>
      </c>
      <c r="I10" s="766">
        <v>0.95</v>
      </c>
      <c r="J10" s="766">
        <v>0.02</v>
      </c>
      <c r="K10" s="766">
        <v>0.93</v>
      </c>
      <c r="L10" s="761">
        <v>0.96</v>
      </c>
      <c r="M10" s="761">
        <v>0</v>
      </c>
      <c r="N10" s="761">
        <v>0</v>
      </c>
      <c r="O10" s="766">
        <v>0</v>
      </c>
      <c r="P10" s="766">
        <v>0</v>
      </c>
      <c r="Q10" s="766">
        <v>0</v>
      </c>
      <c r="R10" s="761">
        <v>0</v>
      </c>
      <c r="S10" s="761">
        <v>0</v>
      </c>
      <c r="T10" s="761">
        <v>0</v>
      </c>
    </row>
    <row r="11" spans="3:20">
      <c r="C11" s="50" t="s">
        <v>1178</v>
      </c>
      <c r="D11" s="28"/>
      <c r="E11" s="1168">
        <v>46</v>
      </c>
      <c r="F11" s="761">
        <v>0.94</v>
      </c>
      <c r="G11" s="761">
        <v>0.01</v>
      </c>
      <c r="H11" s="761">
        <v>0.93</v>
      </c>
      <c r="I11" s="766">
        <v>0.95</v>
      </c>
      <c r="J11" s="766">
        <v>0</v>
      </c>
      <c r="K11" s="766">
        <v>0.95</v>
      </c>
      <c r="L11" s="761">
        <v>0.88</v>
      </c>
      <c r="M11" s="761">
        <v>0</v>
      </c>
      <c r="N11" s="761">
        <v>0</v>
      </c>
      <c r="O11" s="766">
        <v>0</v>
      </c>
      <c r="P11" s="766">
        <v>0</v>
      </c>
      <c r="Q11" s="766">
        <v>0</v>
      </c>
      <c r="R11" s="761">
        <v>0</v>
      </c>
      <c r="S11" s="761">
        <v>0</v>
      </c>
      <c r="T11" s="761">
        <v>0</v>
      </c>
    </row>
    <row r="12" spans="3:20">
      <c r="C12" s="50" t="s">
        <v>247</v>
      </c>
      <c r="D12" s="28"/>
      <c r="E12" s="1168">
        <v>482</v>
      </c>
      <c r="F12" s="761">
        <v>0.89</v>
      </c>
      <c r="G12" s="761">
        <v>0.04</v>
      </c>
      <c r="H12" s="761">
        <v>0.85</v>
      </c>
      <c r="I12" s="766">
        <v>0.91</v>
      </c>
      <c r="J12" s="766">
        <v>0.08</v>
      </c>
      <c r="K12" s="766">
        <v>0.83</v>
      </c>
      <c r="L12" s="761">
        <v>0.93</v>
      </c>
      <c r="M12" s="761">
        <v>0</v>
      </c>
      <c r="N12" s="761">
        <v>0</v>
      </c>
      <c r="O12" s="766">
        <v>0</v>
      </c>
      <c r="P12" s="766">
        <v>0</v>
      </c>
      <c r="Q12" s="766">
        <v>0</v>
      </c>
      <c r="R12" s="761">
        <v>0</v>
      </c>
      <c r="S12" s="761">
        <v>0</v>
      </c>
      <c r="T12" s="761">
        <v>0</v>
      </c>
    </row>
    <row r="13" spans="3:20">
      <c r="C13" s="50" t="s">
        <v>1175</v>
      </c>
      <c r="D13" s="28"/>
      <c r="E13" s="1168">
        <v>240</v>
      </c>
      <c r="F13" s="761">
        <v>0.92</v>
      </c>
      <c r="G13" s="761">
        <v>0.03</v>
      </c>
      <c r="H13" s="761">
        <v>0.89</v>
      </c>
      <c r="I13" s="766">
        <v>0.98</v>
      </c>
      <c r="J13" s="766">
        <v>0.11</v>
      </c>
      <c r="K13" s="766">
        <v>0.87</v>
      </c>
      <c r="L13" s="761">
        <v>0.97</v>
      </c>
      <c r="M13" s="761">
        <v>0</v>
      </c>
      <c r="N13" s="761">
        <v>0</v>
      </c>
      <c r="O13" s="766">
        <v>0</v>
      </c>
      <c r="P13" s="766">
        <v>0</v>
      </c>
      <c r="Q13" s="766">
        <v>0</v>
      </c>
      <c r="R13" s="761">
        <v>0</v>
      </c>
      <c r="S13" s="761">
        <v>0</v>
      </c>
      <c r="T13" s="761">
        <v>0</v>
      </c>
    </row>
    <row r="14" spans="3:20">
      <c r="C14" s="50" t="s">
        <v>1773</v>
      </c>
      <c r="D14" s="28"/>
      <c r="E14" s="1168">
        <v>397</v>
      </c>
      <c r="F14" s="761">
        <v>0.92</v>
      </c>
      <c r="G14" s="761">
        <v>7.0000000000000007E-2</v>
      </c>
      <c r="H14" s="761">
        <v>0.86</v>
      </c>
      <c r="I14" s="766">
        <v>0.96</v>
      </c>
      <c r="J14" s="766">
        <v>0.08</v>
      </c>
      <c r="K14" s="766">
        <v>0.88</v>
      </c>
      <c r="L14" s="761">
        <v>0.98</v>
      </c>
      <c r="M14" s="761">
        <v>0</v>
      </c>
      <c r="N14" s="761">
        <v>0</v>
      </c>
      <c r="O14" s="766">
        <v>0</v>
      </c>
      <c r="P14" s="766">
        <v>0</v>
      </c>
      <c r="Q14" s="766">
        <v>0</v>
      </c>
      <c r="R14" s="761">
        <v>0</v>
      </c>
      <c r="S14" s="761">
        <v>0</v>
      </c>
      <c r="T14" s="761">
        <v>0</v>
      </c>
    </row>
    <row r="15" spans="3:20">
      <c r="C15" s="50" t="s">
        <v>1774</v>
      </c>
      <c r="D15" s="28"/>
      <c r="E15" s="1168">
        <v>91</v>
      </c>
      <c r="F15" s="761">
        <v>0.96</v>
      </c>
      <c r="G15" s="761">
        <v>0.02</v>
      </c>
      <c r="H15" s="761">
        <v>0.94</v>
      </c>
      <c r="I15" s="766">
        <v>0.99</v>
      </c>
      <c r="J15" s="766">
        <v>0.05</v>
      </c>
      <c r="K15" s="766">
        <v>0.95</v>
      </c>
      <c r="L15" s="761">
        <v>0.98</v>
      </c>
      <c r="M15" s="761">
        <v>0</v>
      </c>
      <c r="N15" s="761">
        <v>0</v>
      </c>
      <c r="O15" s="766">
        <v>0</v>
      </c>
      <c r="P15" s="766">
        <v>0</v>
      </c>
      <c r="Q15" s="766">
        <v>0</v>
      </c>
      <c r="R15" s="761">
        <v>0</v>
      </c>
      <c r="S15" s="761">
        <v>0</v>
      </c>
      <c r="T15" s="761">
        <v>0</v>
      </c>
    </row>
    <row r="16" spans="3:20">
      <c r="C16" s="48" t="s">
        <v>1396</v>
      </c>
      <c r="D16" s="123"/>
      <c r="E16" s="1428">
        <v>1522</v>
      </c>
      <c r="F16" s="1457">
        <v>0.93</v>
      </c>
      <c r="G16" s="1457">
        <v>0.04</v>
      </c>
      <c r="H16" s="1457">
        <v>0.89</v>
      </c>
      <c r="I16" s="1510">
        <v>0.95</v>
      </c>
      <c r="J16" s="1510">
        <v>0.06</v>
      </c>
      <c r="K16" s="1510">
        <v>0.89</v>
      </c>
      <c r="L16" s="1457">
        <v>0.95</v>
      </c>
      <c r="M16" s="1457">
        <v>0</v>
      </c>
      <c r="N16" s="1457">
        <v>0</v>
      </c>
      <c r="O16" s="1510">
        <v>0</v>
      </c>
      <c r="P16" s="1510">
        <v>0</v>
      </c>
      <c r="Q16" s="1510">
        <v>0</v>
      </c>
      <c r="R16" s="1457">
        <v>0</v>
      </c>
      <c r="S16" s="1457">
        <v>0</v>
      </c>
      <c r="T16" s="1457">
        <v>0</v>
      </c>
    </row>
    <row r="18" spans="3:12">
      <c r="C18" t="s">
        <v>1787</v>
      </c>
    </row>
    <row r="20" spans="3:12">
      <c r="G20" s="39">
        <v>2023</v>
      </c>
      <c r="H20" s="39">
        <v>2022</v>
      </c>
      <c r="I20" s="39">
        <v>2021</v>
      </c>
      <c r="J20" s="46"/>
    </row>
    <row r="21" spans="3:12">
      <c r="C21" s="48" t="s">
        <v>1788</v>
      </c>
      <c r="D21" s="63"/>
      <c r="E21" s="63"/>
      <c r="F21" s="28"/>
      <c r="G21" s="336">
        <v>1105.3</v>
      </c>
      <c r="H21" s="336">
        <v>1105.3</v>
      </c>
      <c r="I21" s="336">
        <v>801.2</v>
      </c>
      <c r="J21" s="46">
        <v>1</v>
      </c>
    </row>
    <row r="22" spans="3:12">
      <c r="C22" s="50" t="s">
        <v>1789</v>
      </c>
      <c r="D22" s="63"/>
      <c r="E22" s="63"/>
      <c r="F22" s="28"/>
      <c r="G22" s="902">
        <v>0.66100000000000003</v>
      </c>
      <c r="H22" s="902">
        <v>0.66100000000000003</v>
      </c>
      <c r="I22" s="902">
        <v>0.64900000000000002</v>
      </c>
      <c r="J22" s="902">
        <v>0.01</v>
      </c>
    </row>
    <row r="23" spans="3:12">
      <c r="C23" s="50" t="s">
        <v>1790</v>
      </c>
      <c r="D23" s="63"/>
      <c r="E23" s="63"/>
      <c r="F23" s="28"/>
      <c r="G23" s="902">
        <v>0.16600000000000001</v>
      </c>
      <c r="H23" s="902">
        <v>0.16600000000000001</v>
      </c>
      <c r="I23" s="902">
        <v>0.17199999999999999</v>
      </c>
      <c r="J23" s="902">
        <v>0.01</v>
      </c>
    </row>
    <row r="24" spans="3:12">
      <c r="C24" s="50" t="s">
        <v>1791</v>
      </c>
      <c r="D24" s="63"/>
      <c r="E24" s="63"/>
      <c r="F24" s="28"/>
      <c r="G24" s="902">
        <v>0.129</v>
      </c>
      <c r="H24" s="902">
        <v>0.129</v>
      </c>
      <c r="I24" s="902">
        <v>0.151</v>
      </c>
      <c r="J24" s="902">
        <v>0.01</v>
      </c>
    </row>
    <row r="25" spans="3:12">
      <c r="C25" s="48" t="s">
        <v>1786</v>
      </c>
      <c r="D25" s="63"/>
      <c r="E25" s="63"/>
      <c r="F25" s="28"/>
      <c r="G25" s="1511">
        <f>+G22+G23+G24</f>
        <v>0.95600000000000007</v>
      </c>
      <c r="H25" s="1511">
        <f>+H22+H23+H24</f>
        <v>0.95600000000000007</v>
      </c>
      <c r="I25" s="1511">
        <f>+I22+I23+I24</f>
        <v>0.97199999999999998</v>
      </c>
      <c r="J25" s="1511">
        <f>+J22+J23+J24</f>
        <v>0.03</v>
      </c>
    </row>
    <row r="26" spans="3:12">
      <c r="C26" s="50" t="s">
        <v>1784</v>
      </c>
      <c r="D26" s="63"/>
      <c r="E26" s="63"/>
      <c r="F26" s="28"/>
      <c r="G26" s="902">
        <v>-1.0089999999999999</v>
      </c>
      <c r="H26" s="902">
        <v>-8.9999999999999993E-3</v>
      </c>
      <c r="I26" s="902">
        <v>-2.1999999999999999E-2</v>
      </c>
      <c r="J26" s="902">
        <v>0.01</v>
      </c>
    </row>
    <row r="27" spans="3:12">
      <c r="C27" s="48" t="s">
        <v>1785</v>
      </c>
      <c r="D27" s="63"/>
      <c r="E27" s="63"/>
      <c r="F27" s="28"/>
      <c r="G27" s="1511">
        <f>+G25+G26</f>
        <v>-5.2999999999999825E-2</v>
      </c>
      <c r="H27" s="1511">
        <f>+H25+H26</f>
        <v>0.94700000000000006</v>
      </c>
      <c r="I27" s="1511">
        <f>+I25+I26</f>
        <v>0.95</v>
      </c>
      <c r="J27" s="1511">
        <f>+J25+J26</f>
        <v>0.04</v>
      </c>
    </row>
    <row r="29" spans="3:12">
      <c r="F29" s="42" t="s">
        <v>813</v>
      </c>
      <c r="G29" s="42"/>
      <c r="H29" s="42" t="s">
        <v>814</v>
      </c>
      <c r="I29" s="42"/>
      <c r="J29" s="42" t="s">
        <v>893</v>
      </c>
      <c r="L29" s="42" t="s">
        <v>2151</v>
      </c>
    </row>
    <row r="30" spans="3:12">
      <c r="C30" t="s">
        <v>1797</v>
      </c>
      <c r="I30" s="2071" t="s">
        <v>2150</v>
      </c>
      <c r="J30" s="2072"/>
    </row>
    <row r="31" spans="3:12">
      <c r="C31" s="11" t="s">
        <v>1796</v>
      </c>
      <c r="D31" s="42"/>
      <c r="E31" s="42"/>
      <c r="F31" s="42"/>
      <c r="G31" s="42"/>
      <c r="H31" s="42"/>
      <c r="I31" s="2075" t="s">
        <v>1793</v>
      </c>
      <c r="J31" s="2076"/>
    </row>
    <row r="32" spans="3:12">
      <c r="C32" s="11" t="s">
        <v>2144</v>
      </c>
      <c r="D32" s="42"/>
      <c r="E32" s="42"/>
      <c r="F32" s="42"/>
      <c r="G32" s="2071" t="s">
        <v>2149</v>
      </c>
      <c r="H32" s="2072"/>
      <c r="I32" s="2111" t="s">
        <v>1794</v>
      </c>
      <c r="J32" s="2112"/>
    </row>
    <row r="33" spans="3:14">
      <c r="D33" s="42"/>
      <c r="E33" s="40" t="s">
        <v>1783</v>
      </c>
      <c r="F33" s="42"/>
      <c r="G33" s="2071" t="s">
        <v>1792</v>
      </c>
      <c r="H33" s="2072"/>
      <c r="I33" s="2113" t="s">
        <v>1795</v>
      </c>
      <c r="J33" s="2114"/>
      <c r="L33" s="42" t="s">
        <v>2148</v>
      </c>
    </row>
    <row r="34" spans="3:14">
      <c r="D34" s="40" t="s">
        <v>1350</v>
      </c>
      <c r="E34" s="51" t="s">
        <v>825</v>
      </c>
      <c r="F34" s="40" t="s">
        <v>122</v>
      </c>
      <c r="G34" s="40" t="s">
        <v>984</v>
      </c>
      <c r="H34" s="40" t="s">
        <v>122</v>
      </c>
      <c r="I34" s="40" t="s">
        <v>984</v>
      </c>
      <c r="J34" s="40" t="s">
        <v>122</v>
      </c>
      <c r="L34" s="42" t="s">
        <v>122</v>
      </c>
    </row>
    <row r="35" spans="3:14">
      <c r="C35" s="45">
        <v>2010</v>
      </c>
      <c r="D35" s="647">
        <v>4446</v>
      </c>
      <c r="E35" s="647">
        <v>-160.5</v>
      </c>
      <c r="F35" s="490">
        <v>1.0349999999999999</v>
      </c>
      <c r="G35" s="647">
        <v>331.4</v>
      </c>
      <c r="H35" s="490">
        <v>7.2999999999999995E-2</v>
      </c>
      <c r="I35" s="647">
        <v>35.9</v>
      </c>
      <c r="J35" s="490">
        <f>+I35/D35</f>
        <v>8.0746738641475479E-3</v>
      </c>
      <c r="L35" s="902">
        <f>+F35-H35+J35</f>
        <v>0.97007467386414747</v>
      </c>
    </row>
    <row r="36" spans="3:14">
      <c r="C36" s="45">
        <v>2011</v>
      </c>
      <c r="D36" s="647">
        <v>5487.6</v>
      </c>
      <c r="E36" s="647">
        <v>-754.4</v>
      </c>
      <c r="F36" s="490">
        <v>1.1419999999999999</v>
      </c>
      <c r="G36" s="647">
        <v>1020.8</v>
      </c>
      <c r="H36" s="490">
        <v>0.193</v>
      </c>
      <c r="I36" s="647">
        <v>86.5</v>
      </c>
      <c r="J36" s="490">
        <f>+I36/D36</f>
        <v>1.5762810700488374E-2</v>
      </c>
      <c r="L36" s="902">
        <f t="shared" ref="L36:L49" si="0">+F36-H36+J36</f>
        <v>0.96476281070048819</v>
      </c>
    </row>
    <row r="37" spans="3:14">
      <c r="C37" s="45">
        <v>2012</v>
      </c>
      <c r="D37" s="647">
        <v>5995</v>
      </c>
      <c r="E37" s="647">
        <v>6.1</v>
      </c>
      <c r="F37" s="490">
        <v>0.999</v>
      </c>
      <c r="G37" s="647">
        <v>409.8</v>
      </c>
      <c r="H37" s="490">
        <v>7.0000000000000007E-2</v>
      </c>
      <c r="I37" s="647">
        <v>177.4</v>
      </c>
      <c r="J37" s="490">
        <v>0.03</v>
      </c>
      <c r="L37" s="902">
        <f t="shared" si="0"/>
        <v>0.95900000000000007</v>
      </c>
      <c r="N37" s="13">
        <f>+I37/D37</f>
        <v>2.9591326105087575E-2</v>
      </c>
    </row>
    <row r="38" spans="3:14">
      <c r="C38" s="45">
        <v>2013</v>
      </c>
      <c r="D38" s="647">
        <v>6005.8</v>
      </c>
      <c r="E38" s="647">
        <v>440</v>
      </c>
      <c r="F38" s="490">
        <v>0.92700000000000005</v>
      </c>
      <c r="G38" s="647">
        <v>289.3</v>
      </c>
      <c r="H38" s="490">
        <v>4.8000000000000001E-2</v>
      </c>
      <c r="I38" s="647">
        <v>440</v>
      </c>
      <c r="J38" s="490">
        <v>7.2999999999999995E-2</v>
      </c>
      <c r="L38" s="902">
        <f t="shared" si="0"/>
        <v>0.95199999999999996</v>
      </c>
    </row>
    <row r="39" spans="3:14">
      <c r="C39" s="45">
        <v>2014</v>
      </c>
      <c r="D39" s="647">
        <v>6122.1</v>
      </c>
      <c r="E39" s="647">
        <v>552</v>
      </c>
      <c r="F39" s="490">
        <v>0.90800000000000003</v>
      </c>
      <c r="G39" s="647">
        <v>189</v>
      </c>
      <c r="H39" s="490">
        <v>3.2000000000000001E-2</v>
      </c>
      <c r="I39" s="647">
        <v>445.7</v>
      </c>
      <c r="J39" s="490">
        <v>7.3999999999999996E-2</v>
      </c>
      <c r="L39" s="902">
        <f t="shared" si="0"/>
        <v>0.95</v>
      </c>
    </row>
    <row r="40" spans="3:14">
      <c r="C40" s="45">
        <v>2015</v>
      </c>
      <c r="D40" s="647">
        <v>7138.9</v>
      </c>
      <c r="E40" s="647">
        <v>704.5</v>
      </c>
      <c r="F40" s="490">
        <v>0.89900000000000002</v>
      </c>
      <c r="G40" s="647">
        <v>133.69999999999999</v>
      </c>
      <c r="H40" s="490">
        <v>1.9E-2</v>
      </c>
      <c r="I40" s="647">
        <v>544.29999999999995</v>
      </c>
      <c r="J40" s="490">
        <v>7.8E-2</v>
      </c>
      <c r="L40" s="902">
        <f t="shared" si="0"/>
        <v>0.95799999999999996</v>
      </c>
      <c r="N40" t="s">
        <v>2147</v>
      </c>
    </row>
    <row r="41" spans="3:14">
      <c r="C41" s="45">
        <v>2016</v>
      </c>
      <c r="D41" s="647">
        <v>7905</v>
      </c>
      <c r="E41" s="647">
        <v>575.9</v>
      </c>
      <c r="F41" s="490">
        <v>0.92500000000000004</v>
      </c>
      <c r="G41" s="647">
        <v>352.7</v>
      </c>
      <c r="H41" s="490">
        <v>4.5999999999999999E-2</v>
      </c>
      <c r="I41" s="647">
        <v>654.6</v>
      </c>
      <c r="J41" s="490">
        <v>8.5000000000000006E-2</v>
      </c>
      <c r="L41" s="902">
        <f t="shared" si="0"/>
        <v>0.96399999999999997</v>
      </c>
      <c r="N41" t="s">
        <v>2146</v>
      </c>
    </row>
    <row r="42" spans="3:14">
      <c r="C42" s="45">
        <v>2017</v>
      </c>
      <c r="D42" s="647">
        <v>9975.2000000000007</v>
      </c>
      <c r="E42" s="647">
        <v>-641.5</v>
      </c>
      <c r="F42" s="490">
        <v>1.0660000000000001</v>
      </c>
      <c r="G42" s="647">
        <v>1330.4</v>
      </c>
      <c r="H42" s="490">
        <v>0.13700000000000001</v>
      </c>
      <c r="I42" s="647">
        <v>491.7</v>
      </c>
      <c r="J42" s="490">
        <v>5.0999999999999997E-2</v>
      </c>
      <c r="L42" s="902">
        <f t="shared" si="0"/>
        <v>0.98000000000000009</v>
      </c>
      <c r="N42" t="s">
        <v>2145</v>
      </c>
    </row>
    <row r="43" spans="3:14">
      <c r="C43" s="45">
        <v>2018</v>
      </c>
      <c r="D43" s="647">
        <v>12017.5</v>
      </c>
      <c r="E43" s="647">
        <v>318.3</v>
      </c>
      <c r="F43" s="490">
        <v>0.97299999999999998</v>
      </c>
      <c r="G43" s="647">
        <v>752.3</v>
      </c>
      <c r="H43" s="490">
        <v>6.5000000000000002E-2</v>
      </c>
      <c r="I43" s="647">
        <v>789</v>
      </c>
      <c r="J43" s="490">
        <v>6.8000000000000005E-2</v>
      </c>
      <c r="L43" s="902">
        <f t="shared" si="0"/>
        <v>0.97599999999999998</v>
      </c>
    </row>
    <row r="44" spans="3:14">
      <c r="C44" s="45">
        <v>2019</v>
      </c>
      <c r="D44" s="647">
        <v>13261.1</v>
      </c>
      <c r="E44" s="647">
        <v>394.5</v>
      </c>
      <c r="F44" s="490">
        <v>0.96899999999999997</v>
      </c>
      <c r="G44" s="647">
        <v>497.8</v>
      </c>
      <c r="H44" s="490">
        <v>0.04</v>
      </c>
      <c r="I44" s="647">
        <v>479.8</v>
      </c>
      <c r="J44" s="490">
        <v>3.7999999999999999E-2</v>
      </c>
      <c r="L44" s="902">
        <f t="shared" si="0"/>
        <v>0.96699999999999997</v>
      </c>
    </row>
    <row r="45" spans="3:14">
      <c r="C45" s="45">
        <v>2020</v>
      </c>
      <c r="D45" s="647">
        <v>14717.7</v>
      </c>
      <c r="E45" s="647">
        <v>309</v>
      </c>
      <c r="F45" s="490">
        <v>0.97799999999999998</v>
      </c>
      <c r="G45" s="647">
        <v>1313</v>
      </c>
      <c r="H45" s="490">
        <v>9.5000000000000001E-2</v>
      </c>
      <c r="I45" s="647">
        <v>454.9</v>
      </c>
      <c r="J45" s="490">
        <v>3.3000000000000002E-2</v>
      </c>
      <c r="L45" s="902">
        <f t="shared" si="0"/>
        <v>0.91600000000000004</v>
      </c>
    </row>
    <row r="46" spans="3:14">
      <c r="C46" s="45">
        <v>2021</v>
      </c>
      <c r="D46" s="647">
        <v>17809.400000000001</v>
      </c>
      <c r="E46" s="647">
        <v>801.2</v>
      </c>
      <c r="F46" s="490">
        <v>0.95</v>
      </c>
      <c r="G46" s="647">
        <v>1203.2</v>
      </c>
      <c r="H46" s="490">
        <v>7.4999999999999997E-2</v>
      </c>
      <c r="I46" s="647">
        <v>355.6</v>
      </c>
      <c r="J46" s="490">
        <v>2.1999999999999999E-2</v>
      </c>
      <c r="L46" s="902">
        <f t="shared" si="0"/>
        <v>0.89700000000000002</v>
      </c>
    </row>
    <row r="47" spans="3:14">
      <c r="C47" s="45">
        <v>2022</v>
      </c>
      <c r="D47" s="647">
        <v>21927</v>
      </c>
      <c r="E47" s="647">
        <v>1105.3</v>
      </c>
      <c r="F47" s="490">
        <v>0.94699999999999995</v>
      </c>
      <c r="G47" s="647">
        <v>1255.7</v>
      </c>
      <c r="H47" s="490">
        <v>6.0999999999999999E-2</v>
      </c>
      <c r="I47" s="647">
        <v>196.2</v>
      </c>
      <c r="J47" s="490">
        <v>8.9999999999999993E-3</v>
      </c>
      <c r="L47" s="902">
        <f t="shared" si="0"/>
        <v>0.89499999999999991</v>
      </c>
    </row>
    <row r="48" spans="3:14">
      <c r="C48" s="45">
        <v>2023</v>
      </c>
      <c r="D48" s="647">
        <v>22695.4</v>
      </c>
      <c r="E48" s="647">
        <v>1522.2</v>
      </c>
      <c r="F48" s="490">
        <v>0.93200000000000005</v>
      </c>
      <c r="G48" s="647">
        <v>897.3</v>
      </c>
      <c r="H48" s="490">
        <v>0.04</v>
      </c>
      <c r="I48" s="647">
        <v>309.60000000000002</v>
      </c>
      <c r="J48" s="490">
        <v>1.4E-2</v>
      </c>
      <c r="L48" s="902">
        <f t="shared" si="0"/>
        <v>0.90600000000000003</v>
      </c>
    </row>
    <row r="49" spans="3:12">
      <c r="C49" s="45">
        <v>2024</v>
      </c>
      <c r="D49" s="647">
        <v>25335.599999999999</v>
      </c>
      <c r="E49" s="647">
        <v>1791.4</v>
      </c>
      <c r="F49" s="490">
        <v>0.92700000000000005</v>
      </c>
      <c r="G49" s="647">
        <v>1099.3</v>
      </c>
      <c r="H49" s="490">
        <v>4.4999999999999998E-2</v>
      </c>
      <c r="I49" s="647">
        <v>593.6</v>
      </c>
      <c r="J49" s="490">
        <v>2.4E-2</v>
      </c>
      <c r="L49" s="902">
        <f t="shared" si="0"/>
        <v>0.90600000000000003</v>
      </c>
    </row>
    <row r="52" spans="3:12">
      <c r="C52" s="11" t="s">
        <v>2268</v>
      </c>
      <c r="J52" s="42"/>
      <c r="K52" s="2110" t="s">
        <v>1840</v>
      </c>
      <c r="L52" s="2110"/>
    </row>
    <row r="53" spans="3:12">
      <c r="E53" s="40">
        <v>2020</v>
      </c>
      <c r="F53" s="40">
        <v>2021</v>
      </c>
      <c r="G53" s="40">
        <v>2022</v>
      </c>
      <c r="H53" s="40">
        <v>2023</v>
      </c>
      <c r="I53" s="40">
        <v>2024</v>
      </c>
      <c r="J53" s="863" t="s">
        <v>1061</v>
      </c>
      <c r="K53" s="829" t="s">
        <v>984</v>
      </c>
      <c r="L53" s="829" t="s">
        <v>39</v>
      </c>
    </row>
    <row r="54" spans="3:12">
      <c r="C54" s="116" t="s">
        <v>1155</v>
      </c>
      <c r="D54" s="46" t="s">
        <v>2269</v>
      </c>
      <c r="E54" s="647">
        <v>24.277999999999999</v>
      </c>
      <c r="F54" s="647">
        <v>27.837</v>
      </c>
      <c r="G54" s="647">
        <v>31.23</v>
      </c>
      <c r="H54" s="647">
        <v>35.1</v>
      </c>
      <c r="I54" s="647">
        <v>36.9</v>
      </c>
      <c r="J54" s="868">
        <v>38.5</v>
      </c>
      <c r="K54" s="848">
        <f>+J54-E54</f>
        <v>14.222000000000001</v>
      </c>
      <c r="L54" s="732">
        <f>+K54/E54</f>
        <v>0.58579784166735327</v>
      </c>
    </row>
    <row r="55" spans="3:12">
      <c r="C55" s="56"/>
      <c r="D55" s="46" t="s">
        <v>1107</v>
      </c>
      <c r="E55" s="318">
        <f>(+E54/E59)*1000</f>
        <v>927.47290260969123</v>
      </c>
      <c r="F55" s="318">
        <f>(+F54/F59)*1000</f>
        <v>1166.4068785197103</v>
      </c>
      <c r="G55" s="318">
        <f t="shared" ref="G55:J55" si="1">(+G54/G59)*1000</f>
        <v>1338.8892449637851</v>
      </c>
      <c r="H55" s="318">
        <f t="shared" si="1"/>
        <v>1525.8714769323012</v>
      </c>
      <c r="I55" s="318">
        <f t="shared" si="1"/>
        <v>1702.9355008333309</v>
      </c>
      <c r="J55" s="740">
        <f t="shared" si="1"/>
        <v>1833.3333333333333</v>
      </c>
      <c r="K55" s="719">
        <f>+J55-E55</f>
        <v>905.86043072364203</v>
      </c>
      <c r="L55" s="732">
        <f t="shared" ref="L55:L57" si="2">+K55/E55</f>
        <v>0.97669746272345337</v>
      </c>
    </row>
    <row r="56" spans="3:12">
      <c r="C56" s="50" t="s">
        <v>1687</v>
      </c>
      <c r="D56" s="28"/>
      <c r="E56" s="985">
        <v>0.97799999999999998</v>
      </c>
      <c r="F56" s="985">
        <f>+F46</f>
        <v>0.95</v>
      </c>
      <c r="G56" s="985">
        <f>+F47</f>
        <v>0.94699999999999995</v>
      </c>
      <c r="H56" s="985">
        <f>+F48</f>
        <v>0.93200000000000005</v>
      </c>
      <c r="I56" s="1956">
        <v>0.92700000000000005</v>
      </c>
      <c r="J56" s="1958">
        <v>0.93500000000000005</v>
      </c>
      <c r="K56" s="1709"/>
      <c r="L56" s="732"/>
    </row>
    <row r="57" spans="3:12">
      <c r="C57" s="50" t="s">
        <v>2270</v>
      </c>
      <c r="D57" s="28"/>
      <c r="E57" s="513">
        <f>+E45</f>
        <v>309</v>
      </c>
      <c r="F57" s="513">
        <f>+E46</f>
        <v>801.2</v>
      </c>
      <c r="G57" s="513">
        <f>+E47</f>
        <v>1105.3</v>
      </c>
      <c r="H57" s="513">
        <f>+E48</f>
        <v>1522.2</v>
      </c>
      <c r="I57" s="513">
        <f>+E49</f>
        <v>1791.4</v>
      </c>
      <c r="J57" s="1959">
        <v>1679</v>
      </c>
      <c r="K57" s="719">
        <f>+J57-E57</f>
        <v>1370</v>
      </c>
      <c r="L57" s="732">
        <f t="shared" si="2"/>
        <v>4.433656957928803</v>
      </c>
    </row>
    <row r="59" spans="3:12">
      <c r="C59" s="50" t="s">
        <v>2271</v>
      </c>
      <c r="D59" s="28"/>
      <c r="E59" s="1957">
        <v>26.176506</v>
      </c>
      <c r="F59" s="1957">
        <v>23.865600000000001</v>
      </c>
      <c r="G59" s="1957">
        <v>23.325305</v>
      </c>
      <c r="H59" s="1957">
        <v>23.003247999999999</v>
      </c>
      <c r="I59" s="1188">
        <v>21.668465999999999</v>
      </c>
      <c r="J59" s="1525">
        <v>21</v>
      </c>
      <c r="K59" s="1300">
        <f>+J59-E59</f>
        <v>-5.1765059999999998</v>
      </c>
      <c r="L59" s="209">
        <f>+K59/E59</f>
        <v>-0.19775389427450707</v>
      </c>
    </row>
  </sheetData>
  <mergeCells count="12">
    <mergeCell ref="K52:L52"/>
    <mergeCell ref="R5:T5"/>
    <mergeCell ref="E5:H5"/>
    <mergeCell ref="I31:J31"/>
    <mergeCell ref="I32:J32"/>
    <mergeCell ref="I33:J33"/>
    <mergeCell ref="G33:H33"/>
    <mergeCell ref="I5:K5"/>
    <mergeCell ref="L5:N5"/>
    <mergeCell ref="O5:Q5"/>
    <mergeCell ref="G32:H32"/>
    <mergeCell ref="I30:J3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3:BC245"/>
  <sheetViews>
    <sheetView topLeftCell="AF1" zoomScale="115" workbookViewId="0">
      <selection activeCell="AX6" sqref="AX6"/>
    </sheetView>
  </sheetViews>
  <sheetFormatPr baseColWidth="10" defaultRowHeight="16"/>
  <cols>
    <col min="1" max="1" width="7" customWidth="1"/>
    <col min="2" max="2" width="8.5" customWidth="1"/>
    <col min="3" max="3" width="9.6640625" customWidth="1"/>
    <col min="4" max="8" width="9.1640625" customWidth="1"/>
    <col min="9" max="11" width="7.83203125" customWidth="1"/>
    <col min="12" max="14" width="9.1640625" customWidth="1"/>
    <col min="15" max="15" width="7.83203125" customWidth="1"/>
    <col min="16" max="16" width="9.83203125" customWidth="1"/>
    <col min="17" max="17" width="5.83203125" customWidth="1"/>
    <col min="18" max="18" width="12.33203125" customWidth="1"/>
    <col min="19" max="22" width="8.83203125" customWidth="1"/>
    <col min="23" max="23" width="1.1640625" customWidth="1"/>
    <col min="24" max="24" width="6.6640625" customWidth="1"/>
    <col min="25" max="25" width="6.33203125" customWidth="1"/>
    <col min="26" max="26" width="1.1640625" customWidth="1"/>
    <col min="27" max="27" width="6.33203125" customWidth="1"/>
    <col min="28" max="28" width="5.6640625" customWidth="1"/>
    <col min="29" max="29" width="1.1640625" customWidth="1"/>
    <col min="30" max="30" width="7.1640625" customWidth="1"/>
    <col min="31" max="31" width="1.1640625" customWidth="1"/>
    <col min="32" max="32" width="6.33203125" customWidth="1"/>
    <col min="33" max="33" width="1.33203125" customWidth="1"/>
    <col min="34" max="34" width="6" bestFit="1" customWidth="1"/>
    <col min="35" max="35" width="7.1640625" customWidth="1"/>
    <col min="36" max="37" width="9.83203125" customWidth="1"/>
    <col min="40" max="40" width="6.1640625" customWidth="1"/>
    <col min="41" max="41" width="8.1640625" customWidth="1"/>
    <col min="42" max="47" width="8.5" customWidth="1"/>
    <col min="48" max="48" width="6.1640625" customWidth="1"/>
    <col min="53" max="53" width="6.83203125" customWidth="1"/>
    <col min="54" max="55" width="9.1640625" customWidth="1"/>
  </cols>
  <sheetData>
    <row r="3" spans="3:50">
      <c r="AN3" s="11" t="s">
        <v>895</v>
      </c>
    </row>
    <row r="4" spans="3:50">
      <c r="R4" s="11" t="s">
        <v>2253</v>
      </c>
      <c r="V4" s="40" t="s">
        <v>823</v>
      </c>
      <c r="X4" s="40" t="s">
        <v>2257</v>
      </c>
      <c r="AO4" s="1587"/>
      <c r="AP4" s="1926" t="s">
        <v>883</v>
      </c>
      <c r="AQ4" s="1713" t="s">
        <v>884</v>
      </c>
      <c r="AR4" s="1714" t="s">
        <v>1269</v>
      </c>
      <c r="AS4" s="1714" t="s">
        <v>885</v>
      </c>
      <c r="AT4" s="1714" t="s">
        <v>886</v>
      </c>
      <c r="AU4" s="1714" t="s">
        <v>887</v>
      </c>
    </row>
    <row r="5" spans="3:50">
      <c r="S5" s="2093" t="s">
        <v>1263</v>
      </c>
      <c r="T5" s="2115"/>
      <c r="U5" s="2115"/>
      <c r="V5" s="51" t="s">
        <v>824</v>
      </c>
      <c r="X5" s="51" t="s">
        <v>959</v>
      </c>
      <c r="AN5" s="45">
        <v>2025</v>
      </c>
      <c r="AO5" s="1072">
        <v>46387</v>
      </c>
      <c r="AP5" s="1073">
        <v>3.7400000000000003E-2</v>
      </c>
      <c r="AQ5" s="1073">
        <v>3.4799999999999998E-2</v>
      </c>
      <c r="AR5" s="1073">
        <v>3.4700000000000002E-2</v>
      </c>
      <c r="AS5" s="1073">
        <v>3.5499999999999997E-2</v>
      </c>
      <c r="AT5" s="1073">
        <v>3.73E-2</v>
      </c>
      <c r="AU5" s="1073">
        <v>4.1799999999999997E-2</v>
      </c>
      <c r="AV5" s="46" t="s">
        <v>2383</v>
      </c>
    </row>
    <row r="6" spans="3:50">
      <c r="S6" s="1246" t="s">
        <v>2254</v>
      </c>
      <c r="T6" s="1910" t="s">
        <v>168</v>
      </c>
      <c r="U6" s="1221" t="s">
        <v>1262</v>
      </c>
      <c r="V6" s="41" t="s">
        <v>2255</v>
      </c>
      <c r="X6" s="41" t="s">
        <v>2123</v>
      </c>
      <c r="AN6" s="45">
        <v>2026</v>
      </c>
      <c r="AO6" s="1072">
        <v>46080</v>
      </c>
      <c r="AP6" s="1073">
        <v>3.7400000000000003E-2</v>
      </c>
      <c r="AQ6" s="1073">
        <v>3.4799999999999998E-2</v>
      </c>
      <c r="AR6" s="1073">
        <v>3.3799999999999997E-2</v>
      </c>
      <c r="AS6" s="1073">
        <v>3.39E-2</v>
      </c>
      <c r="AT6" s="1073">
        <v>3.5099999999999999E-2</v>
      </c>
      <c r="AU6" s="1073">
        <v>3.9699999999999999E-2</v>
      </c>
      <c r="AV6" s="46" t="s">
        <v>2381</v>
      </c>
    </row>
    <row r="7" spans="3:50">
      <c r="R7" s="45">
        <v>2021</v>
      </c>
      <c r="S7" s="765">
        <v>568.4</v>
      </c>
      <c r="T7" s="1929">
        <v>1.7069069069069069E-2</v>
      </c>
      <c r="U7" s="765">
        <f>+S7/X7</f>
        <v>23.782426778242677</v>
      </c>
      <c r="V7" s="1564">
        <v>36.799999999999997</v>
      </c>
      <c r="X7" s="44">
        <v>23.9</v>
      </c>
      <c r="AO7" s="1072">
        <v>46107</v>
      </c>
      <c r="AP7" s="1073">
        <v>3.7400000000000003E-2</v>
      </c>
      <c r="AQ7" s="1073">
        <v>3.8300000000000001E-2</v>
      </c>
      <c r="AR7" s="1073">
        <v>3.9600000000000003E-2</v>
      </c>
      <c r="AS7" s="1073">
        <v>0.04</v>
      </c>
      <c r="AT7" s="1073">
        <v>4.0800000000000003E-2</v>
      </c>
      <c r="AU7" s="1073">
        <v>4.4200000000000003E-2</v>
      </c>
      <c r="AV7" s="46" t="s">
        <v>2382</v>
      </c>
    </row>
    <row r="8" spans="3:50">
      <c r="R8" s="45">
        <v>2022</v>
      </c>
      <c r="S8" s="765">
        <v>873.5</v>
      </c>
      <c r="T8" s="1929">
        <v>2.3077939233817707E-2</v>
      </c>
      <c r="U8" s="765">
        <f t="shared" ref="U8:U11" si="0">+S8/X8</f>
        <v>37.489270386266092</v>
      </c>
      <c r="V8" s="1251">
        <v>38.9</v>
      </c>
      <c r="X8" s="44">
        <v>23.3</v>
      </c>
      <c r="AO8" s="1072">
        <v>45747</v>
      </c>
      <c r="AP8" s="1073">
        <v>3.7400000000000003E-2</v>
      </c>
      <c r="AQ8" s="1073">
        <v>3.6799999999999999E-2</v>
      </c>
      <c r="AR8" s="1073">
        <v>3.7900000000000003E-2</v>
      </c>
      <c r="AS8" s="1073">
        <v>3.8100000000000002E-2</v>
      </c>
      <c r="AT8" s="1073">
        <v>3.9199999999999999E-2</v>
      </c>
      <c r="AU8" s="1073">
        <v>4.2999999999999997E-2</v>
      </c>
      <c r="AV8" s="46" t="s">
        <v>2384</v>
      </c>
    </row>
    <row r="9" spans="3:50">
      <c r="R9" s="45">
        <v>2023</v>
      </c>
      <c r="S9" s="765">
        <v>1841</v>
      </c>
      <c r="T9" s="1929">
        <v>4.372921615201901E-2</v>
      </c>
      <c r="U9" s="765">
        <f t="shared" si="0"/>
        <v>80.043478260869563</v>
      </c>
      <c r="V9" s="1251">
        <v>45.3</v>
      </c>
      <c r="X9" s="92">
        <v>23</v>
      </c>
      <c r="AO9" s="1587"/>
      <c r="AP9" s="1587"/>
      <c r="AQ9" s="1587"/>
      <c r="AR9" s="1587"/>
      <c r="AS9" s="1587"/>
      <c r="AT9" s="1587"/>
      <c r="AU9" s="1587"/>
    </row>
    <row r="10" spans="3:50">
      <c r="R10" s="45">
        <v>2024</v>
      </c>
      <c r="S10" s="765">
        <v>2341.4</v>
      </c>
      <c r="T10" s="1929">
        <v>5.1010893246187364E-2</v>
      </c>
      <c r="U10" s="765">
        <f t="shared" si="0"/>
        <v>107.89861751152074</v>
      </c>
      <c r="V10" s="1251">
        <v>46.5</v>
      </c>
      <c r="X10" s="92">
        <v>21.7</v>
      </c>
      <c r="AO10" s="1587"/>
      <c r="AP10" s="1587"/>
      <c r="AQ10" s="1587"/>
      <c r="AR10" s="1587"/>
      <c r="AS10" s="1587"/>
      <c r="AT10" s="1587"/>
      <c r="AU10" s="1587"/>
    </row>
    <row r="11" spans="3:50">
      <c r="R11" s="742" t="s">
        <v>1061</v>
      </c>
      <c r="S11" s="740">
        <v>2464</v>
      </c>
      <c r="T11" s="1927">
        <v>5.1067357512953368E-2</v>
      </c>
      <c r="U11" s="740">
        <f t="shared" si="0"/>
        <v>117.33333333333333</v>
      </c>
      <c r="V11" s="1928">
        <v>50</v>
      </c>
      <c r="X11" s="745">
        <v>21</v>
      </c>
      <c r="AO11" s="1587"/>
      <c r="AP11" s="1587"/>
      <c r="AQ11" s="1587"/>
      <c r="AR11" s="1587"/>
      <c r="AS11" s="1587"/>
      <c r="AT11" s="1587"/>
      <c r="AU11" s="1587"/>
    </row>
    <row r="12" spans="3:50" ht="17" thickBot="1">
      <c r="R12" s="829" t="s">
        <v>2256</v>
      </c>
      <c r="S12" s="793">
        <f>+S11-S7</f>
        <v>1895.6</v>
      </c>
      <c r="U12" s="793">
        <f>+U11-U7</f>
        <v>93.550906555090648</v>
      </c>
      <c r="AN12" s="1718">
        <v>2024</v>
      </c>
      <c r="AO12" s="1715">
        <v>46022</v>
      </c>
      <c r="AP12" s="1584">
        <v>4.3999999999999997E-2</v>
      </c>
      <c r="AQ12" s="1716">
        <v>4.1599999999999998E-2</v>
      </c>
      <c r="AR12" s="1716">
        <v>4.2500000000000003E-2</v>
      </c>
      <c r="AS12" s="1716">
        <v>4.2700000000000002E-2</v>
      </c>
      <c r="AT12" s="1716">
        <v>4.3799999999999999E-2</v>
      </c>
      <c r="AU12" s="1716">
        <v>4.58E-2</v>
      </c>
    </row>
    <row r="13" spans="3:50">
      <c r="R13" s="11"/>
      <c r="S13" s="1313">
        <f>+S12/S7</f>
        <v>3.3349753694581281</v>
      </c>
      <c r="U13" s="1313">
        <f>+U12/U7</f>
        <v>3.9336148252404408</v>
      </c>
      <c r="AN13" s="90">
        <v>2025</v>
      </c>
      <c r="AO13" s="1578">
        <v>45747</v>
      </c>
      <c r="AP13" s="1579">
        <v>4.3799999999999999E-2</v>
      </c>
      <c r="AQ13" s="1579">
        <v>4.0300000000000002E-2</v>
      </c>
      <c r="AR13" s="1579">
        <v>3.8899999999999997E-2</v>
      </c>
      <c r="AS13" s="1579">
        <v>3.8899999999999997E-2</v>
      </c>
      <c r="AT13" s="1579">
        <v>3.9600000000000003E-2</v>
      </c>
      <c r="AU13" s="1579">
        <v>4.2299999999999997E-2</v>
      </c>
    </row>
    <row r="14" spans="3:50">
      <c r="AN14" s="90"/>
      <c r="AO14" s="1578">
        <v>45838</v>
      </c>
      <c r="AP14" s="1579">
        <v>4.2799999999999998E-2</v>
      </c>
      <c r="AQ14" s="1579">
        <v>3.9600000000000003E-2</v>
      </c>
      <c r="AR14" s="1579">
        <v>3.7199999999999997E-2</v>
      </c>
      <c r="AS14" s="1579">
        <v>3.6799999999999999E-2</v>
      </c>
      <c r="AT14" s="1579">
        <v>3.7900000000000003E-2</v>
      </c>
      <c r="AU14" s="1579">
        <v>4.24E-2</v>
      </c>
    </row>
    <row r="15" spans="3:50">
      <c r="C15" t="s">
        <v>1872</v>
      </c>
      <c r="AN15" s="50"/>
      <c r="AO15" s="1717" t="s">
        <v>2066</v>
      </c>
      <c r="AP15" s="1719">
        <f>+AP14-AP13</f>
        <v>-1.0000000000000009E-3</v>
      </c>
      <c r="AQ15" s="1719">
        <f t="shared" ref="AQ15:AU15" si="1">+AQ14-AQ13</f>
        <v>-6.9999999999999923E-4</v>
      </c>
      <c r="AR15" s="1719">
        <f t="shared" si="1"/>
        <v>-1.7000000000000001E-3</v>
      </c>
      <c r="AS15" s="1719">
        <f t="shared" si="1"/>
        <v>-2.0999999999999977E-3</v>
      </c>
      <c r="AT15" s="1719">
        <f t="shared" si="1"/>
        <v>-1.7000000000000001E-3</v>
      </c>
      <c r="AU15" s="1719">
        <f t="shared" si="1"/>
        <v>1.0000000000000286E-4</v>
      </c>
    </row>
    <row r="16" spans="3:50">
      <c r="AX16" s="11" t="s">
        <v>1620</v>
      </c>
    </row>
    <row r="17" spans="2:55">
      <c r="B17" s="11" t="s">
        <v>1087</v>
      </c>
      <c r="J17" s="40" t="s">
        <v>823</v>
      </c>
      <c r="K17" s="40" t="s">
        <v>1311</v>
      </c>
      <c r="AN17" s="11" t="s">
        <v>895</v>
      </c>
      <c r="AX17" s="814" t="s">
        <v>1621</v>
      </c>
      <c r="BB17" s="2071">
        <v>2021</v>
      </c>
      <c r="BC17" s="2072"/>
    </row>
    <row r="18" spans="2:55">
      <c r="B18" s="814" t="s">
        <v>2209</v>
      </c>
      <c r="E18" s="40" t="s">
        <v>761</v>
      </c>
      <c r="F18" s="40" t="s">
        <v>778</v>
      </c>
      <c r="G18" s="40" t="s">
        <v>779</v>
      </c>
      <c r="H18" s="40" t="s">
        <v>148</v>
      </c>
      <c r="I18" s="305" t="s">
        <v>780</v>
      </c>
      <c r="J18" s="41" t="s">
        <v>824</v>
      </c>
      <c r="K18" s="41" t="s">
        <v>168</v>
      </c>
      <c r="R18" s="11" t="s">
        <v>1085</v>
      </c>
      <c r="AC18" s="499"/>
      <c r="AD18" s="814" t="s">
        <v>2209</v>
      </c>
      <c r="AE18" s="499"/>
      <c r="AF18" s="499"/>
      <c r="AO18" s="1587"/>
      <c r="AP18" s="1588" t="s">
        <v>883</v>
      </c>
      <c r="AQ18" s="1586" t="s">
        <v>884</v>
      </c>
      <c r="AR18" s="1585" t="s">
        <v>1269</v>
      </c>
      <c r="AS18" s="1585" t="s">
        <v>885</v>
      </c>
      <c r="AT18" s="1585" t="s">
        <v>886</v>
      </c>
      <c r="AU18" s="1585" t="s">
        <v>887</v>
      </c>
      <c r="BB18" s="39" t="s">
        <v>1507</v>
      </c>
      <c r="BC18" s="39" t="s">
        <v>1622</v>
      </c>
    </row>
    <row r="19" spans="2:55">
      <c r="B19" s="40">
        <v>2022</v>
      </c>
      <c r="C19" s="460" t="s">
        <v>816</v>
      </c>
      <c r="D19" s="45"/>
      <c r="E19" s="324">
        <v>153.4</v>
      </c>
      <c r="F19" s="324">
        <v>176.4</v>
      </c>
      <c r="G19" s="324">
        <v>229.8</v>
      </c>
      <c r="H19" s="324">
        <v>314</v>
      </c>
      <c r="I19" s="871">
        <v>873.5</v>
      </c>
      <c r="J19" s="1251">
        <v>38.9</v>
      </c>
      <c r="K19" s="1249">
        <f>+I19/J19/1000</f>
        <v>2.245501285347044E-2</v>
      </c>
      <c r="Q19" s="42"/>
      <c r="S19" s="501" t="s">
        <v>894</v>
      </c>
      <c r="T19" s="501"/>
      <c r="U19" s="499"/>
      <c r="V19" s="499"/>
      <c r="W19" s="499"/>
      <c r="X19" s="501" t="s">
        <v>813</v>
      </c>
      <c r="Y19" s="501"/>
      <c r="Z19" s="501"/>
      <c r="AA19" s="501" t="s">
        <v>814</v>
      </c>
      <c r="AB19" s="501" t="s">
        <v>893</v>
      </c>
      <c r="AC19" s="499"/>
      <c r="AD19" s="502" t="s">
        <v>19</v>
      </c>
      <c r="AE19" s="499"/>
      <c r="AF19" s="502" t="s">
        <v>1302</v>
      </c>
      <c r="AN19" s="45">
        <v>2021</v>
      </c>
      <c r="AO19" s="1072">
        <v>45291</v>
      </c>
      <c r="AP19" s="1073">
        <v>5.9999999999999995E-4</v>
      </c>
      <c r="AQ19" s="1073">
        <v>3.8999999999999998E-3</v>
      </c>
      <c r="AR19" s="1073">
        <v>7.3000000000000001E-3</v>
      </c>
      <c r="AS19" s="1073">
        <v>9.7000000000000003E-3</v>
      </c>
      <c r="AT19" s="1073">
        <v>1.26E-2</v>
      </c>
      <c r="AU19" s="1073">
        <v>1.52E-2</v>
      </c>
      <c r="AX19" s="50" t="s">
        <v>1618</v>
      </c>
      <c r="AY19" s="63"/>
      <c r="AZ19" s="63"/>
      <c r="BA19" s="28"/>
      <c r="BB19" s="647">
        <v>568.4</v>
      </c>
      <c r="BC19" s="1124">
        <f>+BB19/(BC24*1000)</f>
        <v>1.7069069069069069E-2</v>
      </c>
    </row>
    <row r="20" spans="2:55">
      <c r="B20" s="51"/>
      <c r="C20" s="460" t="s">
        <v>965</v>
      </c>
      <c r="D20" s="45"/>
      <c r="E20" s="324">
        <v>27.8</v>
      </c>
      <c r="F20" s="324">
        <v>43.3</v>
      </c>
      <c r="G20" s="324">
        <v>38.700000000000003</v>
      </c>
      <c r="H20" s="324">
        <v>30.6</v>
      </c>
      <c r="I20" s="871">
        <f>SUM(E20:H20)</f>
        <v>140.4</v>
      </c>
      <c r="J20" s="855"/>
      <c r="K20" s="37"/>
      <c r="S20" s="2120" t="s">
        <v>2216</v>
      </c>
      <c r="T20" s="2121"/>
      <c r="U20" s="2121"/>
      <c r="V20" s="2122"/>
      <c r="W20" s="499"/>
      <c r="X20" s="501"/>
      <c r="Z20" s="501"/>
      <c r="AA20" s="501"/>
      <c r="AB20" s="1295" t="s">
        <v>1230</v>
      </c>
      <c r="AC20" s="501"/>
      <c r="AD20" s="503" t="s">
        <v>823</v>
      </c>
      <c r="AE20" s="501"/>
      <c r="AF20" s="973" t="s">
        <v>1666</v>
      </c>
      <c r="AK20" s="501"/>
      <c r="AN20" s="45">
        <v>2022</v>
      </c>
      <c r="AO20" s="1072">
        <v>45291</v>
      </c>
      <c r="AP20" s="1073">
        <v>4.1200000000000001E-2</v>
      </c>
      <c r="AQ20" s="1073">
        <v>4.7300000000000002E-2</v>
      </c>
      <c r="AR20" s="1073">
        <v>4.41E-2</v>
      </c>
      <c r="AS20" s="1073">
        <v>4.2200000000000001E-2</v>
      </c>
      <c r="AT20" s="1073">
        <v>3.9899999999999998E-2</v>
      </c>
      <c r="AU20" s="1073">
        <v>3.8800000000000001E-2</v>
      </c>
      <c r="AX20" s="50" t="s">
        <v>1617</v>
      </c>
      <c r="AY20" s="63"/>
      <c r="AZ20" s="63"/>
      <c r="BA20" s="28"/>
      <c r="BB20" s="647">
        <v>253</v>
      </c>
      <c r="BC20" s="46"/>
    </row>
    <row r="21" spans="2:55" ht="17" thickBot="1">
      <c r="B21" s="51"/>
      <c r="C21" s="460" t="s">
        <v>1059</v>
      </c>
      <c r="D21" s="45"/>
      <c r="E21" s="324">
        <v>-12.3</v>
      </c>
      <c r="F21" s="324">
        <v>-16.600000000000001</v>
      </c>
      <c r="G21" s="324">
        <v>-12</v>
      </c>
      <c r="H21" s="324">
        <v>-11.2</v>
      </c>
      <c r="I21" s="871">
        <f t="shared" ref="I21:I22" si="2">SUM(E21:H21)</f>
        <v>-52.100000000000009</v>
      </c>
      <c r="J21" s="855"/>
      <c r="K21" s="37"/>
      <c r="S21" s="1603" t="s">
        <v>19</v>
      </c>
      <c r="T21" s="1603" t="s">
        <v>1083</v>
      </c>
      <c r="U21" s="1893" t="s">
        <v>818</v>
      </c>
      <c r="V21" s="1603" t="s">
        <v>1083</v>
      </c>
      <c r="W21" s="501"/>
      <c r="X21" s="1736" t="s">
        <v>816</v>
      </c>
      <c r="Y21" s="1736" t="s">
        <v>1311</v>
      </c>
      <c r="Z21" s="501"/>
      <c r="AA21" s="1295" t="s">
        <v>1229</v>
      </c>
      <c r="AB21" s="1296" t="s">
        <v>1231</v>
      </c>
      <c r="AC21" s="501"/>
      <c r="AD21" s="503" t="s">
        <v>824</v>
      </c>
      <c r="AE21" s="501"/>
      <c r="AF21" s="973" t="s">
        <v>959</v>
      </c>
      <c r="AJ21" s="40" t="s">
        <v>19</v>
      </c>
      <c r="AK21" s="40" t="s">
        <v>19</v>
      </c>
      <c r="AN21" s="1580">
        <v>2023</v>
      </c>
      <c r="AO21" s="1583">
        <v>45657</v>
      </c>
      <c r="AP21" s="1584">
        <v>5.6000000000000001E-2</v>
      </c>
      <c r="AQ21" s="1584">
        <v>4.7899999999999998E-2</v>
      </c>
      <c r="AR21" s="1584">
        <v>4.2299999999999997E-2</v>
      </c>
      <c r="AS21" s="1584">
        <v>4.0099999999999997E-2</v>
      </c>
      <c r="AT21" s="1584">
        <v>3.8399999999999997E-2</v>
      </c>
      <c r="AU21" s="1584">
        <v>3.8800000000000001E-2</v>
      </c>
      <c r="AX21" s="48" t="s">
        <v>1619</v>
      </c>
      <c r="AY21" s="122"/>
      <c r="AZ21" s="122"/>
      <c r="BA21" s="123"/>
      <c r="BB21" s="1100">
        <f>SUM(BB19:BB20)</f>
        <v>821.4</v>
      </c>
      <c r="BC21" s="1276">
        <f>+BB21/(BC24*1000)</f>
        <v>2.4666666666666667E-2</v>
      </c>
    </row>
    <row r="22" spans="2:55" ht="17" thickBot="1">
      <c r="B22" s="1566"/>
      <c r="C22" s="1567" t="s">
        <v>1224</v>
      </c>
      <c r="D22" s="932"/>
      <c r="E22" s="933">
        <f>SUM(E19:E21)</f>
        <v>168.9</v>
      </c>
      <c r="F22" s="933">
        <f>SUM(F19:F21)</f>
        <v>203.1</v>
      </c>
      <c r="G22" s="933">
        <f t="shared" ref="G22:H22" si="3">SUM(G19:G21)</f>
        <v>256.5</v>
      </c>
      <c r="H22" s="933">
        <f t="shared" si="3"/>
        <v>333.40000000000003</v>
      </c>
      <c r="I22" s="951">
        <f t="shared" si="2"/>
        <v>961.90000000000009</v>
      </c>
      <c r="J22" s="1568"/>
      <c r="K22" s="1569"/>
      <c r="R22" s="1608" t="s">
        <v>1667</v>
      </c>
      <c r="S22" s="1604" t="s">
        <v>1667</v>
      </c>
      <c r="T22" s="1262" t="s">
        <v>774</v>
      </c>
      <c r="U22" s="1605" t="s">
        <v>158</v>
      </c>
      <c r="V22" s="1262" t="s">
        <v>774</v>
      </c>
      <c r="X22" s="1737" t="s">
        <v>1667</v>
      </c>
      <c r="Y22" s="1737" t="s">
        <v>168</v>
      </c>
      <c r="AA22" s="1025" t="s">
        <v>1667</v>
      </c>
      <c r="AB22" s="1025" t="s">
        <v>1667</v>
      </c>
      <c r="AD22" s="504" t="s">
        <v>1668</v>
      </c>
      <c r="AF22" s="504" t="s">
        <v>1459</v>
      </c>
      <c r="AJ22" s="51" t="s">
        <v>823</v>
      </c>
      <c r="AK22" s="51" t="s">
        <v>1070</v>
      </c>
      <c r="AN22" s="80">
        <v>2024</v>
      </c>
      <c r="AO22" s="1581">
        <v>45016</v>
      </c>
      <c r="AP22" s="1582">
        <v>5.4899999999999997E-2</v>
      </c>
      <c r="AQ22" s="1582">
        <v>5.0299999999999997E-2</v>
      </c>
      <c r="AR22" s="1582">
        <v>4.5900000000000003E-2</v>
      </c>
      <c r="AS22" s="1582">
        <v>4.3999999999999997E-2</v>
      </c>
      <c r="AT22" s="1582">
        <v>4.2099999999999999E-2</v>
      </c>
      <c r="AU22" s="1582">
        <v>4.2000000000000003E-2</v>
      </c>
    </row>
    <row r="23" spans="2:55">
      <c r="B23" s="51">
        <v>2023</v>
      </c>
      <c r="C23" s="1561" t="s">
        <v>816</v>
      </c>
      <c r="D23" s="1562" t="s">
        <v>1225</v>
      </c>
      <c r="E23" s="1563">
        <v>371.3</v>
      </c>
      <c r="F23" s="1563">
        <v>448.6</v>
      </c>
      <c r="G23" s="1563">
        <v>495.7</v>
      </c>
      <c r="H23" s="1563">
        <v>525.4</v>
      </c>
      <c r="I23" s="832">
        <f>SUM(E23:H23)</f>
        <v>1841</v>
      </c>
      <c r="J23" s="1564">
        <v>45.3</v>
      </c>
      <c r="K23" s="1565">
        <f>+I23/((J19+J23)/2)/1000</f>
        <v>4.372921615201901E-2</v>
      </c>
      <c r="R23" s="45">
        <v>2019</v>
      </c>
      <c r="S23" s="719">
        <f t="shared" ref="S23:S29" si="4">+X23+AA23+AB23</f>
        <v>880.2</v>
      </c>
      <c r="T23" s="732">
        <f>+(S23-S34)/S34</f>
        <v>0.12342054881940019</v>
      </c>
      <c r="U23" s="719">
        <f t="shared" ref="U23:U29" si="5">+S23/AF23</f>
        <v>32.843283582089555</v>
      </c>
      <c r="V23" s="732">
        <f>(+U23-U34)/U34</f>
        <v>0.14018801969730171</v>
      </c>
      <c r="W23" s="333"/>
      <c r="X23" s="1738">
        <v>826.3</v>
      </c>
      <c r="Y23" s="1739">
        <f>+X23/((AD23+AD34)/2)/1000</f>
        <v>3.1122410546139359E-2</v>
      </c>
      <c r="Z23" s="70"/>
      <c r="AA23" s="405">
        <v>93.7</v>
      </c>
      <c r="AB23" s="405">
        <v>-39.799999999999997</v>
      </c>
      <c r="AC23" s="475"/>
      <c r="AD23" s="601">
        <v>26.4</v>
      </c>
      <c r="AE23" s="475"/>
      <c r="AF23" s="45">
        <v>26.8</v>
      </c>
      <c r="AJ23" s="51"/>
      <c r="AK23" s="51"/>
      <c r="AN23" s="80"/>
      <c r="AO23" s="1577">
        <v>45473</v>
      </c>
      <c r="AP23" s="1073">
        <v>5.4699999999999999E-2</v>
      </c>
      <c r="AQ23" s="1073">
        <v>5.0900000000000001E-2</v>
      </c>
      <c r="AR23" s="1073">
        <v>4.7100000000000003E-2</v>
      </c>
      <c r="AS23" s="1073">
        <v>4.5199999999999997E-2</v>
      </c>
      <c r="AT23" s="1073">
        <v>4.3299999999999998E-2</v>
      </c>
      <c r="AU23" s="1073">
        <v>4.36E-2</v>
      </c>
      <c r="BA23" s="39">
        <v>2020</v>
      </c>
      <c r="BB23" s="39">
        <v>2021</v>
      </c>
      <c r="BC23" s="39" t="s">
        <v>917</v>
      </c>
    </row>
    <row r="24" spans="2:55">
      <c r="B24" s="51"/>
      <c r="C24" s="460" t="s">
        <v>965</v>
      </c>
      <c r="D24" s="1557" t="s">
        <v>1225</v>
      </c>
      <c r="E24" s="1558">
        <v>31</v>
      </c>
      <c r="F24" s="1558">
        <v>31</v>
      </c>
      <c r="G24" s="1558">
        <v>32</v>
      </c>
      <c r="H24" s="1558">
        <v>40</v>
      </c>
      <c r="I24" s="884">
        <f t="shared" ref="I24:I26" si="6">SUM(E24:H24)</f>
        <v>134</v>
      </c>
      <c r="J24" s="855"/>
      <c r="K24" s="37"/>
      <c r="R24" s="45">
        <v>2020</v>
      </c>
      <c r="S24" s="719">
        <f t="shared" si="4"/>
        <v>769.19999999999993</v>
      </c>
      <c r="T24" s="732">
        <f t="shared" ref="T24:T29" si="7">+(S24-S23)/S23</f>
        <v>-0.12610770279481948</v>
      </c>
      <c r="U24" s="719">
        <f t="shared" si="5"/>
        <v>29.358778625954198</v>
      </c>
      <c r="V24" s="732">
        <f>(+U24-U23)/U23</f>
        <v>-0.10609490209546417</v>
      </c>
      <c r="W24" s="333"/>
      <c r="X24" s="1738">
        <v>716.5</v>
      </c>
      <c r="Y24" s="1739">
        <f t="shared" ref="Y24:Y29" si="8">+X24/((AD24+AD23)/2)/1000</f>
        <v>2.5498220640569395E-2</v>
      </c>
      <c r="Z24" s="70"/>
      <c r="AA24" s="405">
        <v>77.8</v>
      </c>
      <c r="AB24" s="405">
        <v>-25.1</v>
      </c>
      <c r="AC24" s="475"/>
      <c r="AD24" s="601">
        <v>29.8</v>
      </c>
      <c r="AE24" s="475"/>
      <c r="AF24" s="45">
        <v>26.2</v>
      </c>
      <c r="AJ24" s="51"/>
      <c r="AK24" s="51"/>
      <c r="AN24" s="80"/>
      <c r="AO24" s="1577">
        <v>45565</v>
      </c>
      <c r="AP24" s="1073">
        <v>4.9299999999999997E-2</v>
      </c>
      <c r="AQ24" s="1073">
        <v>3.9800000000000002E-2</v>
      </c>
      <c r="AR24" s="1073">
        <v>3.6600000000000001E-2</v>
      </c>
      <c r="AS24" s="1073">
        <v>3.5799999999999998E-2</v>
      </c>
      <c r="AT24" s="1073">
        <v>3.5799999999999998E-2</v>
      </c>
      <c r="AU24" s="1073">
        <v>3.8100000000000002E-2</v>
      </c>
      <c r="AX24" s="50" t="s">
        <v>1623</v>
      </c>
      <c r="AY24" s="63"/>
      <c r="AZ24" s="28"/>
      <c r="BA24" s="647">
        <v>29.8</v>
      </c>
      <c r="BB24" s="647">
        <v>36.799999999999997</v>
      </c>
      <c r="BC24" s="647">
        <f>(+BA24+BB24)/2</f>
        <v>33.299999999999997</v>
      </c>
    </row>
    <row r="25" spans="2:55" ht="17" thickBot="1">
      <c r="B25" s="51"/>
      <c r="C25" s="460" t="s">
        <v>1059</v>
      </c>
      <c r="D25" s="1557" t="s">
        <v>1225</v>
      </c>
      <c r="E25" s="1558">
        <v>-20</v>
      </c>
      <c r="F25" s="1558">
        <v>-15</v>
      </c>
      <c r="G25" s="1558">
        <v>-15</v>
      </c>
      <c r="H25" s="1558">
        <v>-29</v>
      </c>
      <c r="I25" s="884">
        <f t="shared" si="6"/>
        <v>-79</v>
      </c>
      <c r="J25" s="855"/>
      <c r="K25" s="37"/>
      <c r="R25" s="45">
        <v>2021</v>
      </c>
      <c r="S25" s="719">
        <f t="shared" si="4"/>
        <v>640.80000000000007</v>
      </c>
      <c r="T25" s="732">
        <f t="shared" si="7"/>
        <v>-0.16692667706708253</v>
      </c>
      <c r="U25" s="719">
        <f t="shared" si="5"/>
        <v>26.811715481171554</v>
      </c>
      <c r="V25" s="732">
        <f t="shared" ref="V25:V30" si="9">(+U25-U24)/U24</f>
        <v>-8.6756440968935616E-2</v>
      </c>
      <c r="W25" s="333"/>
      <c r="X25" s="1738">
        <v>568.4</v>
      </c>
      <c r="Y25" s="1739">
        <f t="shared" si="8"/>
        <v>1.7069069069069069E-2</v>
      </c>
      <c r="Z25" s="70"/>
      <c r="AA25" s="405">
        <v>108.2</v>
      </c>
      <c r="AB25" s="405">
        <v>-35.799999999999997</v>
      </c>
      <c r="AC25" s="475"/>
      <c r="AD25" s="601">
        <v>36.799999999999997</v>
      </c>
      <c r="AE25" s="475"/>
      <c r="AF25" s="44">
        <v>23.9</v>
      </c>
      <c r="AJ25" s="41" t="s">
        <v>824</v>
      </c>
      <c r="AK25" s="41" t="s">
        <v>817</v>
      </c>
      <c r="AN25" s="1580"/>
      <c r="AO25" s="1715">
        <v>46022</v>
      </c>
      <c r="AP25" s="1716">
        <v>4.3999999999999997E-2</v>
      </c>
      <c r="AQ25" s="1716">
        <v>4.1599999999999998E-2</v>
      </c>
      <c r="AR25" s="1716">
        <v>4.2500000000000003E-2</v>
      </c>
      <c r="AS25" s="1716">
        <v>4.2700000000000002E-2</v>
      </c>
      <c r="AT25" s="1716">
        <v>4.3799999999999999E-2</v>
      </c>
      <c r="AU25" s="1716">
        <v>4.58E-2</v>
      </c>
    </row>
    <row r="26" spans="2:55" ht="17" thickBot="1">
      <c r="B26" s="1566"/>
      <c r="C26" s="1567" t="s">
        <v>1224</v>
      </c>
      <c r="D26" s="943"/>
      <c r="E26" s="933">
        <f>SUM(E23:E25)</f>
        <v>382.3</v>
      </c>
      <c r="F26" s="933">
        <f>SUM(F23:F25)</f>
        <v>464.6</v>
      </c>
      <c r="G26" s="933">
        <f t="shared" ref="G26:H26" si="10">SUM(G23:G25)</f>
        <v>512.70000000000005</v>
      </c>
      <c r="H26" s="933">
        <f t="shared" si="10"/>
        <v>536.4</v>
      </c>
      <c r="I26" s="933">
        <f t="shared" si="6"/>
        <v>1896</v>
      </c>
      <c r="J26" s="1570"/>
      <c r="K26" s="1569"/>
      <c r="R26" s="45">
        <v>2022</v>
      </c>
      <c r="S26" s="719">
        <f t="shared" si="4"/>
        <v>961.8</v>
      </c>
      <c r="T26" s="732">
        <f t="shared" si="7"/>
        <v>0.50093632958801471</v>
      </c>
      <c r="U26" s="719">
        <f t="shared" si="5"/>
        <v>41.278969957081543</v>
      </c>
      <c r="V26" s="732">
        <f t="shared" si="9"/>
        <v>0.53958705052161149</v>
      </c>
      <c r="W26" s="333"/>
      <c r="X26" s="1738">
        <v>873.5</v>
      </c>
      <c r="Y26" s="1739">
        <f t="shared" si="8"/>
        <v>2.3077939233817707E-2</v>
      </c>
      <c r="Z26" s="646"/>
      <c r="AA26" s="405">
        <v>140.4</v>
      </c>
      <c r="AB26" s="405">
        <v>-52.1</v>
      </c>
      <c r="AC26" s="475"/>
      <c r="AD26" s="601">
        <v>38.9</v>
      </c>
      <c r="AE26" s="475"/>
      <c r="AF26" s="44">
        <v>23.3</v>
      </c>
      <c r="AJ26" s="39" t="s">
        <v>1007</v>
      </c>
      <c r="AK26" s="39" t="s">
        <v>54</v>
      </c>
      <c r="AN26" s="80">
        <v>2025</v>
      </c>
      <c r="AO26" s="1578">
        <v>45747</v>
      </c>
      <c r="AP26" s="1579">
        <v>4.3799999999999999E-2</v>
      </c>
      <c r="AQ26" s="1579">
        <v>4.0300000000000002E-2</v>
      </c>
      <c r="AR26" s="1579">
        <v>3.8899999999999997E-2</v>
      </c>
      <c r="AS26" s="1579">
        <v>3.8899999999999997E-2</v>
      </c>
      <c r="AT26" s="1579">
        <v>3.9600000000000003E-2</v>
      </c>
      <c r="AU26" s="1579">
        <v>4.2299999999999997E-2</v>
      </c>
    </row>
    <row r="27" spans="2:55">
      <c r="B27" s="51">
        <v>2024</v>
      </c>
      <c r="C27" s="1561" t="s">
        <v>816</v>
      </c>
      <c r="D27" s="1562" t="s">
        <v>1225</v>
      </c>
      <c r="E27" s="1563">
        <v>570.4</v>
      </c>
      <c r="F27" s="1563">
        <v>597</v>
      </c>
      <c r="G27" s="1563">
        <v>592.9</v>
      </c>
      <c r="H27" s="1563">
        <v>580.9</v>
      </c>
      <c r="I27" s="832">
        <f>SUM(E27:H27)</f>
        <v>2341.2000000000003</v>
      </c>
      <c r="J27" s="1564">
        <v>46.5</v>
      </c>
      <c r="K27" s="1565">
        <f>+I27/((J23+J27)/2)/1000</f>
        <v>5.1006535947712428E-2</v>
      </c>
      <c r="M27" s="53"/>
      <c r="R27" s="45">
        <v>2023</v>
      </c>
      <c r="S27" s="719">
        <f t="shared" si="4"/>
        <v>1896</v>
      </c>
      <c r="T27" s="732">
        <f t="shared" si="7"/>
        <v>0.97130380536494088</v>
      </c>
      <c r="U27" s="719">
        <f t="shared" si="5"/>
        <v>82.434782608695656</v>
      </c>
      <c r="V27" s="732">
        <f t="shared" si="9"/>
        <v>0.997016463695788</v>
      </c>
      <c r="W27" s="333"/>
      <c r="X27" s="1738">
        <v>1841</v>
      </c>
      <c r="Y27" s="1739">
        <f t="shared" si="8"/>
        <v>4.372921615201901E-2</v>
      </c>
      <c r="Z27" s="646"/>
      <c r="AA27" s="405">
        <v>134</v>
      </c>
      <c r="AB27" s="405">
        <v>-79</v>
      </c>
      <c r="AC27" s="475"/>
      <c r="AD27" s="601">
        <v>45.3</v>
      </c>
      <c r="AE27" s="475"/>
      <c r="AF27" s="92">
        <v>23</v>
      </c>
      <c r="AI27" s="45">
        <v>2022</v>
      </c>
      <c r="AJ27" s="601">
        <v>38.9</v>
      </c>
      <c r="AK27" s="324">
        <v>961.8</v>
      </c>
      <c r="AN27" s="80"/>
      <c r="AO27" s="1578">
        <v>45838</v>
      </c>
      <c r="AP27" s="1579">
        <v>4.2799999999999998E-2</v>
      </c>
      <c r="AQ27" s="1579">
        <v>3.9600000000000003E-2</v>
      </c>
      <c r="AR27" s="1579">
        <v>3.7199999999999997E-2</v>
      </c>
      <c r="AS27" s="1579">
        <v>3.6799999999999999E-2</v>
      </c>
      <c r="AT27" s="1579">
        <v>3.7900000000000003E-2</v>
      </c>
      <c r="AU27" s="1579">
        <v>4.24E-2</v>
      </c>
    </row>
    <row r="28" spans="2:55" ht="17" thickBot="1">
      <c r="B28" s="69"/>
      <c r="C28" s="460" t="s">
        <v>965</v>
      </c>
      <c r="D28" s="1557" t="s">
        <v>1225</v>
      </c>
      <c r="E28" s="1558">
        <v>42</v>
      </c>
      <c r="F28" s="1558">
        <v>42</v>
      </c>
      <c r="G28" s="1558">
        <v>42</v>
      </c>
      <c r="H28" s="1558">
        <v>142</v>
      </c>
      <c r="I28" s="884">
        <f t="shared" ref="I28:I30" si="11">SUM(E28:H28)</f>
        <v>268</v>
      </c>
      <c r="J28" s="855"/>
      <c r="K28" s="37"/>
      <c r="M28" s="492"/>
      <c r="R28" s="45">
        <v>2024</v>
      </c>
      <c r="S28" s="719">
        <f t="shared" si="4"/>
        <v>2511.8000000000002</v>
      </c>
      <c r="T28" s="732">
        <f t="shared" si="7"/>
        <v>0.32478902953586508</v>
      </c>
      <c r="U28" s="719">
        <f t="shared" si="5"/>
        <v>115.75115207373273</v>
      </c>
      <c r="V28" s="1894">
        <f t="shared" si="9"/>
        <v>0.40415427093663109</v>
      </c>
      <c r="W28" s="333"/>
      <c r="X28" s="1738">
        <v>2341.4</v>
      </c>
      <c r="Y28" s="1739">
        <f t="shared" si="8"/>
        <v>5.1010893246187364E-2</v>
      </c>
      <c r="Z28" s="646"/>
      <c r="AA28" s="405">
        <v>268.39999999999998</v>
      </c>
      <c r="AB28" s="405">
        <v>-98</v>
      </c>
      <c r="AC28" s="475"/>
      <c r="AD28" s="601">
        <v>46.5</v>
      </c>
      <c r="AE28" s="475"/>
      <c r="AF28" s="92">
        <v>21.7</v>
      </c>
      <c r="AI28" s="763">
        <v>2023</v>
      </c>
      <c r="AJ28" s="771">
        <v>42</v>
      </c>
      <c r="AK28" s="768">
        <v>1905</v>
      </c>
      <c r="AN28" s="80"/>
      <c r="AO28" s="1577">
        <v>45930</v>
      </c>
      <c r="AP28" s="1579">
        <v>4.2000000000000003E-2</v>
      </c>
      <c r="AQ28" s="1579">
        <v>3.6799999999999999E-2</v>
      </c>
      <c r="AR28" s="1579">
        <v>3.5999999999999997E-2</v>
      </c>
      <c r="AS28" s="1579">
        <v>3.61E-2</v>
      </c>
      <c r="AT28" s="1579">
        <v>3.7400000000000003E-2</v>
      </c>
      <c r="AU28" s="1579">
        <v>4.1599999999999998E-2</v>
      </c>
    </row>
    <row r="29" spans="2:55" ht="17" thickBot="1">
      <c r="B29" s="69"/>
      <c r="C29" s="460" t="s">
        <v>1059</v>
      </c>
      <c r="D29" s="1557" t="s">
        <v>1225</v>
      </c>
      <c r="E29" s="1558">
        <v>-22.6</v>
      </c>
      <c r="F29" s="1558">
        <v>-25</v>
      </c>
      <c r="G29" s="1558">
        <v>-25</v>
      </c>
      <c r="H29" s="1558">
        <v>-25</v>
      </c>
      <c r="I29" s="884">
        <f t="shared" si="11"/>
        <v>-97.6</v>
      </c>
      <c r="J29" s="855"/>
      <c r="K29" s="37"/>
      <c r="R29" s="742" t="s">
        <v>1061</v>
      </c>
      <c r="S29" s="740">
        <f t="shared" si="4"/>
        <v>2579</v>
      </c>
      <c r="T29" s="737">
        <f t="shared" si="7"/>
        <v>2.6753722430129714E-2</v>
      </c>
      <c r="U29" s="1441">
        <f t="shared" si="5"/>
        <v>122.80952380952381</v>
      </c>
      <c r="V29" s="1896">
        <f t="shared" si="9"/>
        <v>6.0978846511134055E-2</v>
      </c>
      <c r="W29" s="476"/>
      <c r="X29" s="740">
        <v>2464</v>
      </c>
      <c r="Y29" s="1248">
        <f t="shared" si="8"/>
        <v>5.1067357512953368E-2</v>
      </c>
      <c r="Z29" s="70"/>
      <c r="AA29" s="740">
        <v>220</v>
      </c>
      <c r="AB29" s="740">
        <v>-105</v>
      </c>
      <c r="AC29" s="475"/>
      <c r="AD29" s="743">
        <v>50</v>
      </c>
      <c r="AE29" s="475"/>
      <c r="AF29" s="745">
        <v>21</v>
      </c>
      <c r="AI29" s="746">
        <v>2024</v>
      </c>
      <c r="AJ29" s="772">
        <v>47</v>
      </c>
      <c r="AK29" s="769">
        <v>2385</v>
      </c>
      <c r="AN29" s="1580"/>
      <c r="AO29" s="1715">
        <v>46387</v>
      </c>
      <c r="AP29" s="1584">
        <v>3.7400000000000003E-2</v>
      </c>
      <c r="AQ29" s="1584">
        <v>3.4799999999999998E-2</v>
      </c>
      <c r="AR29" s="1584">
        <v>3.4700000000000002E-2</v>
      </c>
      <c r="AS29" s="1584">
        <v>3.5499999999999997E-2</v>
      </c>
      <c r="AT29" s="1584">
        <v>3.73E-2</v>
      </c>
      <c r="AU29" s="1584">
        <v>4.1799999999999997E-2</v>
      </c>
    </row>
    <row r="30" spans="2:55" ht="17" thickBot="1">
      <c r="B30" s="1576"/>
      <c r="C30" s="1567" t="s">
        <v>1224</v>
      </c>
      <c r="D30" s="943"/>
      <c r="E30" s="933">
        <f>SUM(E27:E29)</f>
        <v>589.79999999999995</v>
      </c>
      <c r="F30" s="933">
        <f>SUM(F27:F29)</f>
        <v>614</v>
      </c>
      <c r="G30" s="933">
        <f t="shared" ref="G30:H30" si="12">SUM(G27:G29)</f>
        <v>609.9</v>
      </c>
      <c r="H30" s="933">
        <f t="shared" si="12"/>
        <v>697.9</v>
      </c>
      <c r="I30" s="933">
        <f t="shared" si="11"/>
        <v>2511.6</v>
      </c>
      <c r="J30" s="1570"/>
      <c r="K30" s="1569"/>
      <c r="R30" s="763" t="s">
        <v>2068</v>
      </c>
      <c r="S30" s="765">
        <f t="shared" ref="S30" si="13">+X30+AA30+AB30</f>
        <v>2665</v>
      </c>
      <c r="T30" s="1330">
        <f t="shared" ref="T30" si="14">+(S30-S29)/S29</f>
        <v>3.3346258239627766E-2</v>
      </c>
      <c r="U30" s="765">
        <f t="shared" ref="U30" si="15">+S30/AF30</f>
        <v>130</v>
      </c>
      <c r="V30" s="1895">
        <f t="shared" si="9"/>
        <v>5.8549825513765016E-2</v>
      </c>
      <c r="W30" s="333"/>
      <c r="X30" s="765">
        <v>2550</v>
      </c>
      <c r="Y30" s="1493">
        <f t="shared" ref="Y30" si="16">+X30/((AD30+AD29)/2)/1000</f>
        <v>4.9756097560975612E-2</v>
      </c>
      <c r="Z30" s="70"/>
      <c r="AA30" s="765">
        <v>230</v>
      </c>
      <c r="AB30" s="765">
        <v>-115</v>
      </c>
      <c r="AC30" s="475"/>
      <c r="AD30" s="771">
        <v>52.5</v>
      </c>
      <c r="AE30" s="1734"/>
      <c r="AF30" s="1735">
        <v>20.5</v>
      </c>
      <c r="AI30" s="742">
        <v>2025</v>
      </c>
      <c r="AJ30" s="743">
        <v>50</v>
      </c>
      <c r="AK30" s="770">
        <v>2291</v>
      </c>
      <c r="AN30" s="90">
        <v>2026</v>
      </c>
      <c r="AO30" s="1578">
        <v>45747</v>
      </c>
      <c r="AP30" s="1579">
        <v>3.7400000000000003E-2</v>
      </c>
      <c r="AQ30" s="1579">
        <v>3.6799999999999999E-2</v>
      </c>
      <c r="AR30" s="1579">
        <v>3.7900000000000003E-2</v>
      </c>
      <c r="AS30" s="1579">
        <v>3.8100000000000002E-2</v>
      </c>
      <c r="AT30" s="1579">
        <v>3.9199999999999999E-2</v>
      </c>
      <c r="AU30" s="1579">
        <v>4.2999999999999997E-2</v>
      </c>
    </row>
    <row r="31" spans="2:55">
      <c r="B31" s="1320">
        <v>2025</v>
      </c>
      <c r="C31" s="1571" t="s">
        <v>816</v>
      </c>
      <c r="D31" s="1572" t="s">
        <v>1225</v>
      </c>
      <c r="E31" s="1733">
        <v>584</v>
      </c>
      <c r="F31" s="1733">
        <v>635</v>
      </c>
      <c r="G31" s="1733">
        <v>625</v>
      </c>
      <c r="H31" s="1573">
        <v>620</v>
      </c>
      <c r="I31" s="834">
        <f>SUM(E31:H31)</f>
        <v>2464</v>
      </c>
      <c r="J31" s="1574">
        <v>50</v>
      </c>
      <c r="K31" s="1575">
        <f>+I31/((J27+J31)/2)/1000</f>
        <v>5.1067357512953368E-2</v>
      </c>
    </row>
    <row r="32" spans="2:55">
      <c r="C32" s="887" t="s">
        <v>965</v>
      </c>
      <c r="D32" s="1243" t="s">
        <v>1225</v>
      </c>
      <c r="E32" s="862">
        <v>55</v>
      </c>
      <c r="F32" s="862">
        <v>55</v>
      </c>
      <c r="G32" s="862">
        <v>55</v>
      </c>
      <c r="H32" s="770">
        <v>55</v>
      </c>
      <c r="I32" s="1244">
        <f t="shared" ref="I32:I34" si="17">SUM(E32:H32)</f>
        <v>220</v>
      </c>
      <c r="R32" s="45">
        <v>2016</v>
      </c>
      <c r="S32" s="401">
        <f>+X32+AA32+AB32</f>
        <v>555.19999999999993</v>
      </c>
      <c r="T32" s="970">
        <f>+(S32-S39)/S39</f>
        <v>8.3951581413510112E-2</v>
      </c>
      <c r="U32" s="401">
        <f>+S32/AF32</f>
        <v>24.034632034632029</v>
      </c>
      <c r="V32" s="333"/>
      <c r="W32" s="333"/>
      <c r="X32" s="401">
        <v>514.4</v>
      </c>
      <c r="Y32" s="1247">
        <f>+X32/AD32/1000</f>
        <v>2.5339901477832508E-2</v>
      </c>
      <c r="Z32" s="333"/>
      <c r="AA32" s="401">
        <v>66.8</v>
      </c>
      <c r="AB32" s="401">
        <v>-26</v>
      </c>
      <c r="AC32" s="475"/>
      <c r="AD32" s="969">
        <v>20.3</v>
      </c>
      <c r="AE32" s="475"/>
      <c r="AF32" s="90">
        <v>23.1</v>
      </c>
      <c r="AO32" s="1396"/>
      <c r="AP32" s="1589">
        <v>1</v>
      </c>
      <c r="AQ32" s="1589">
        <v>7</v>
      </c>
      <c r="AR32" s="1589">
        <v>8</v>
      </c>
      <c r="AS32" s="1589">
        <v>9</v>
      </c>
      <c r="AT32" s="1589">
        <v>10</v>
      </c>
      <c r="AU32" s="1589">
        <v>12</v>
      </c>
    </row>
    <row r="33" spans="2:48">
      <c r="C33" s="887" t="s">
        <v>1059</v>
      </c>
      <c r="D33" s="1243" t="s">
        <v>1225</v>
      </c>
      <c r="E33" s="862">
        <v>-25</v>
      </c>
      <c r="F33" s="862">
        <v>-25</v>
      </c>
      <c r="G33" s="862">
        <v>-25</v>
      </c>
      <c r="H33" s="770">
        <v>-30</v>
      </c>
      <c r="I33" s="1244">
        <f t="shared" si="17"/>
        <v>-105</v>
      </c>
      <c r="K33" s="492"/>
      <c r="R33" s="45">
        <v>2017</v>
      </c>
      <c r="S33" s="318">
        <f>+X33+AA33+AB33</f>
        <v>559.00000000000011</v>
      </c>
      <c r="T33" s="209">
        <f>+(S33-S32)/S32</f>
        <v>6.8443804034585415E-3</v>
      </c>
      <c r="U33" s="318">
        <f>+S33/AF33</f>
        <v>20.10791366906475</v>
      </c>
      <c r="V33" s="333"/>
      <c r="W33" s="333"/>
      <c r="X33" s="318">
        <v>514.6</v>
      </c>
      <c r="Y33" s="968">
        <f>+X33/((AD33+AD32)/2)/1000</f>
        <v>2.1308488612836442E-2</v>
      </c>
      <c r="Z33" s="333"/>
      <c r="AA33" s="318">
        <v>73.2</v>
      </c>
      <c r="AB33" s="318">
        <v>-28.8</v>
      </c>
      <c r="AC33" s="475"/>
      <c r="AD33" s="601">
        <v>28</v>
      </c>
      <c r="AE33" s="475"/>
      <c r="AF33" s="45">
        <v>27.8</v>
      </c>
      <c r="AJ33" s="759" t="s">
        <v>1029</v>
      </c>
      <c r="AK33" s="669"/>
    </row>
    <row r="34" spans="2:48">
      <c r="C34" s="1559" t="s">
        <v>1224</v>
      </c>
      <c r="D34" s="1560"/>
      <c r="E34" s="884">
        <f>SUM(E31:E33)</f>
        <v>614</v>
      </c>
      <c r="F34" s="884">
        <f>SUM(F31:F33)</f>
        <v>665</v>
      </c>
      <c r="G34" s="884">
        <f>SUM(G31:G33)</f>
        <v>655</v>
      </c>
      <c r="H34" s="1244">
        <f t="shared" ref="H34" si="18">SUM(H31:H33)</f>
        <v>645</v>
      </c>
      <c r="I34" s="1244">
        <f t="shared" si="17"/>
        <v>2579</v>
      </c>
      <c r="N34">
        <f>645*4</f>
        <v>2580</v>
      </c>
      <c r="R34" s="45">
        <v>2018</v>
      </c>
      <c r="S34" s="318">
        <f>+X34+AA34+AB34</f>
        <v>783.5</v>
      </c>
      <c r="T34" s="209">
        <f>+(S34-S33)/S33</f>
        <v>0.40161001788908735</v>
      </c>
      <c r="U34" s="318">
        <f>+S34/AF34</f>
        <v>28.805147058823529</v>
      </c>
      <c r="V34" s="333"/>
      <c r="W34" s="333"/>
      <c r="X34" s="318">
        <v>743.9</v>
      </c>
      <c r="Y34" s="968">
        <f>+X34/((AD34+AD33)/2)/1000</f>
        <v>2.7199268738574037E-2</v>
      </c>
      <c r="Z34" s="586"/>
      <c r="AA34" s="318">
        <v>81.5</v>
      </c>
      <c r="AB34" s="318">
        <v>-41.9</v>
      </c>
      <c r="AC34" s="475"/>
      <c r="AD34" s="601">
        <v>26.7</v>
      </c>
      <c r="AE34" s="475"/>
      <c r="AF34" s="45">
        <v>27.2</v>
      </c>
      <c r="AJ34" s="760" t="s">
        <v>121</v>
      </c>
      <c r="AK34" s="669"/>
      <c r="AL34" s="40" t="s">
        <v>1065</v>
      </c>
    </row>
    <row r="35" spans="2:48">
      <c r="AJ35" s="760" t="s">
        <v>125</v>
      </c>
      <c r="AK35" s="669"/>
      <c r="AL35" s="51" t="s">
        <v>1066</v>
      </c>
      <c r="AO35" s="1325">
        <v>2021</v>
      </c>
      <c r="AP35" s="1325" t="s">
        <v>883</v>
      </c>
      <c r="AQ35" s="1325" t="s">
        <v>884</v>
      </c>
      <c r="AR35" s="1325" t="s">
        <v>1269</v>
      </c>
      <c r="AS35" s="1325" t="s">
        <v>885</v>
      </c>
      <c r="AT35" s="1325" t="s">
        <v>886</v>
      </c>
      <c r="AU35" s="1325" t="s">
        <v>887</v>
      </c>
    </row>
    <row r="36" spans="2:48">
      <c r="E36" s="1732">
        <v>614</v>
      </c>
      <c r="F36" s="1732">
        <v>666</v>
      </c>
      <c r="AJ36" s="760" t="s">
        <v>1064</v>
      </c>
      <c r="AK36" s="762" t="s">
        <v>122</v>
      </c>
      <c r="AL36" s="41" t="s">
        <v>123</v>
      </c>
      <c r="AO36" s="602">
        <v>45291</v>
      </c>
      <c r="AP36" s="603">
        <v>5.9999999999999995E-4</v>
      </c>
      <c r="AQ36" s="603">
        <v>3.8999999999999998E-3</v>
      </c>
      <c r="AR36" s="603">
        <v>7.3000000000000001E-3</v>
      </c>
      <c r="AS36" s="603">
        <v>9.7000000000000003E-3</v>
      </c>
      <c r="AT36" s="603">
        <v>1.26E-2</v>
      </c>
      <c r="AU36" s="603">
        <v>1.52E-2</v>
      </c>
    </row>
    <row r="37" spans="2:48">
      <c r="R37" s="50" t="s">
        <v>1232</v>
      </c>
      <c r="S37" s="63"/>
      <c r="T37" s="63"/>
      <c r="U37" s="63"/>
      <c r="V37" s="63"/>
      <c r="W37" s="63"/>
      <c r="X37" s="63"/>
      <c r="Y37" s="63"/>
      <c r="Z37" s="63"/>
      <c r="AA37" s="63"/>
      <c r="AB37" s="63"/>
      <c r="AC37" s="28"/>
      <c r="AD37" s="63"/>
      <c r="AI37" s="45">
        <v>2022</v>
      </c>
      <c r="AJ37" s="761">
        <v>0.25</v>
      </c>
      <c r="AK37" s="45">
        <v>94.7</v>
      </c>
      <c r="AL37" s="318" t="e">
        <f>+#REF!</f>
        <v>#REF!</v>
      </c>
      <c r="AO37" s="1031">
        <v>2022</v>
      </c>
      <c r="AP37" s="1031" t="s">
        <v>883</v>
      </c>
      <c r="AQ37" s="1031" t="s">
        <v>884</v>
      </c>
      <c r="AR37" s="1031" t="s">
        <v>1269</v>
      </c>
      <c r="AS37" s="1031" t="s">
        <v>885</v>
      </c>
      <c r="AT37" s="1031" t="s">
        <v>886</v>
      </c>
      <c r="AU37" s="1031" t="s">
        <v>887</v>
      </c>
    </row>
    <row r="38" spans="2:48">
      <c r="C38" s="1" t="s">
        <v>1087</v>
      </c>
      <c r="D38" s="1"/>
      <c r="F38" s="53"/>
      <c r="G38" s="359"/>
      <c r="H38" s="53"/>
      <c r="I38" s="53"/>
      <c r="J38" s="595" t="s">
        <v>19</v>
      </c>
      <c r="AI38" s="763">
        <v>2023</v>
      </c>
      <c r="AJ38" s="764">
        <v>0.08</v>
      </c>
      <c r="AK38" s="763">
        <v>95</v>
      </c>
      <c r="AL38" s="765" t="e">
        <f>+#REF!</f>
        <v>#REF!</v>
      </c>
      <c r="AO38" s="602">
        <v>44651</v>
      </c>
      <c r="AP38" s="603">
        <v>1.6999999999999999E-3</v>
      </c>
      <c r="AQ38" s="603">
        <v>1.6299999999999999E-2</v>
      </c>
      <c r="AR38" s="603">
        <v>2.2800000000000001E-2</v>
      </c>
      <c r="AS38" s="603">
        <v>2.4500000000000001E-2</v>
      </c>
      <c r="AT38" s="603">
        <v>2.4199999999999999E-2</v>
      </c>
      <c r="AU38" s="603">
        <v>2.3199999999999998E-2</v>
      </c>
    </row>
    <row r="39" spans="2:48">
      <c r="J39" s="580" t="s">
        <v>823</v>
      </c>
      <c r="R39" s="45">
        <v>2015</v>
      </c>
      <c r="S39" s="318">
        <f t="shared" ref="S39:S44" si="19">+X39+AA39+AB39</f>
        <v>512.20000000000005</v>
      </c>
      <c r="T39" s="209">
        <f>+(S39-S40)/S40</f>
        <v>0.26844972758791491</v>
      </c>
      <c r="U39" s="318">
        <f>+S39/AF39</f>
        <v>23.072072072072075</v>
      </c>
      <c r="V39" s="333"/>
      <c r="W39" s="333"/>
      <c r="X39" s="318">
        <v>457.1</v>
      </c>
      <c r="Y39" s="728">
        <f>+X39/AD39/1000</f>
        <v>2.2969849246231161E-2</v>
      </c>
      <c r="Z39" s="333"/>
      <c r="AA39" s="318">
        <v>80.099999999999994</v>
      </c>
      <c r="AB39" s="318">
        <v>-25</v>
      </c>
      <c r="AC39" s="475"/>
      <c r="AD39" s="601">
        <v>19.899999999999999</v>
      </c>
      <c r="AE39" s="475"/>
      <c r="AF39" s="45">
        <v>22.2</v>
      </c>
      <c r="AI39" s="746">
        <v>2024</v>
      </c>
      <c r="AJ39" s="766">
        <v>0.08</v>
      </c>
      <c r="AK39" s="746">
        <v>95.5</v>
      </c>
      <c r="AL39" s="719" t="e">
        <f>+#REF!</f>
        <v>#REF!</v>
      </c>
      <c r="AO39" s="602">
        <v>44742</v>
      </c>
      <c r="AP39" s="603">
        <v>1.2800000000000001E-2</v>
      </c>
      <c r="AQ39" s="603">
        <v>2.8000000000000001E-2</v>
      </c>
      <c r="AR39" s="603">
        <v>2.92E-2</v>
      </c>
      <c r="AS39" s="603">
        <v>2.9899999999999999E-2</v>
      </c>
      <c r="AT39" s="603">
        <v>3.0099999999999998E-2</v>
      </c>
      <c r="AU39" s="603">
        <v>2.98E-2</v>
      </c>
    </row>
    <row r="40" spans="2:48">
      <c r="E40" s="40" t="s">
        <v>761</v>
      </c>
      <c r="F40" s="40" t="s">
        <v>778</v>
      </c>
      <c r="G40" s="40" t="s">
        <v>779</v>
      </c>
      <c r="H40" s="40" t="s">
        <v>148</v>
      </c>
      <c r="I40" s="151" t="s">
        <v>780</v>
      </c>
      <c r="J40" s="596" t="s">
        <v>824</v>
      </c>
      <c r="K40" s="597" t="s">
        <v>168</v>
      </c>
      <c r="R40" s="45">
        <v>2014</v>
      </c>
      <c r="S40" s="318">
        <f t="shared" si="19"/>
        <v>403.8</v>
      </c>
      <c r="T40" s="318"/>
      <c r="U40" s="318">
        <f>+S40/AF40</f>
        <v>19.047169811320757</v>
      </c>
      <c r="V40" s="333"/>
      <c r="W40" s="333"/>
      <c r="X40" s="318">
        <v>350.3</v>
      </c>
      <c r="Y40" s="728">
        <f>+X40/AD40/1000</f>
        <v>1.97909604519774E-2</v>
      </c>
      <c r="Z40" s="333"/>
      <c r="AA40" s="318">
        <v>80.2</v>
      </c>
      <c r="AB40" s="318">
        <v>-26.7</v>
      </c>
      <c r="AC40" s="475"/>
      <c r="AD40" s="601">
        <v>17.7</v>
      </c>
      <c r="AE40" s="475"/>
      <c r="AF40" s="45">
        <v>21.2</v>
      </c>
      <c r="AI40" s="742">
        <v>2025</v>
      </c>
      <c r="AJ40" s="767">
        <v>0.02</v>
      </c>
      <c r="AK40" s="742">
        <v>96</v>
      </c>
      <c r="AL40" s="740" t="e">
        <f>+#REF!</f>
        <v>#REF!</v>
      </c>
      <c r="AO40" s="602">
        <v>44834</v>
      </c>
      <c r="AP40" s="603">
        <v>2.7900000000000001E-2</v>
      </c>
      <c r="AQ40" s="603">
        <v>4.0500000000000001E-2</v>
      </c>
      <c r="AR40" s="603">
        <v>4.2200000000000001E-2</v>
      </c>
      <c r="AS40" s="603">
        <v>4.2500000000000003E-2</v>
      </c>
      <c r="AT40" s="603">
        <v>4.0599999999999997E-2</v>
      </c>
      <c r="AU40" s="603">
        <v>3.8300000000000001E-2</v>
      </c>
    </row>
    <row r="41" spans="2:48">
      <c r="C41" s="45">
        <v>2014</v>
      </c>
      <c r="D41" s="45"/>
      <c r="E41" s="324">
        <v>81.2</v>
      </c>
      <c r="F41" s="324">
        <v>99.2</v>
      </c>
      <c r="G41" s="324">
        <v>64.2</v>
      </c>
      <c r="H41" s="324">
        <f t="shared" ref="H41:H48" si="20">+I41-G41-F41-E41</f>
        <v>105.70000000000003</v>
      </c>
      <c r="I41" s="551">
        <v>350.3</v>
      </c>
      <c r="J41" s="598">
        <v>17.7</v>
      </c>
      <c r="K41" s="599">
        <f t="shared" ref="K41:K48" si="21">+I41/J41/1000</f>
        <v>1.97909604519774E-2</v>
      </c>
      <c r="M41" s="756">
        <f>+K41</f>
        <v>1.97909604519774E-2</v>
      </c>
      <c r="N41" s="45">
        <v>2014</v>
      </c>
      <c r="R41" s="45">
        <v>2013</v>
      </c>
      <c r="S41" s="318">
        <f t="shared" si="19"/>
        <v>376.90000000000003</v>
      </c>
      <c r="T41" s="318"/>
      <c r="U41" s="318"/>
      <c r="V41" s="333"/>
      <c r="W41" s="333"/>
      <c r="X41" s="318">
        <v>306.8</v>
      </c>
      <c r="Y41" s="318"/>
      <c r="Z41" s="333"/>
      <c r="AA41" s="318">
        <v>95.3</v>
      </c>
      <c r="AB41" s="318">
        <v>-25.2</v>
      </c>
      <c r="AD41" s="324"/>
      <c r="AO41" s="602">
        <v>45291</v>
      </c>
      <c r="AP41" s="603">
        <v>4.1200000000000001E-2</v>
      </c>
      <c r="AQ41" s="603">
        <v>4.7300000000000002E-2</v>
      </c>
      <c r="AR41" s="603">
        <v>4.41E-2</v>
      </c>
      <c r="AS41" s="603">
        <v>4.2200000000000001E-2</v>
      </c>
      <c r="AT41" s="603">
        <v>3.9899999999999998E-2</v>
      </c>
      <c r="AU41" s="603">
        <v>3.8800000000000001E-2</v>
      </c>
    </row>
    <row r="42" spans="2:48">
      <c r="C42" s="45">
        <v>2015</v>
      </c>
      <c r="D42" s="45"/>
      <c r="E42" s="324">
        <v>95</v>
      </c>
      <c r="F42" s="324">
        <v>134.5</v>
      </c>
      <c r="G42" s="324">
        <v>92.1</v>
      </c>
      <c r="H42" s="324">
        <f t="shared" si="20"/>
        <v>135.5</v>
      </c>
      <c r="I42" s="551">
        <v>457.1</v>
      </c>
      <c r="J42" s="598">
        <v>19.899999999999999</v>
      </c>
      <c r="K42" s="599">
        <f t="shared" si="21"/>
        <v>2.2969849246231161E-2</v>
      </c>
      <c r="M42" s="756">
        <f t="shared" ref="M42:M47" si="22">+K42</f>
        <v>2.2969849246231161E-2</v>
      </c>
      <c r="N42" s="45">
        <v>2015</v>
      </c>
      <c r="R42" s="45">
        <v>2012</v>
      </c>
      <c r="S42" s="318">
        <f t="shared" si="19"/>
        <v>409.3</v>
      </c>
      <c r="T42" s="318"/>
      <c r="U42" s="318"/>
      <c r="V42" s="333"/>
      <c r="W42" s="333"/>
      <c r="X42" s="318">
        <v>326.5</v>
      </c>
      <c r="Y42" s="318"/>
      <c r="Z42" s="333"/>
      <c r="AA42" s="318">
        <v>109</v>
      </c>
      <c r="AB42" s="318">
        <v>-26.2</v>
      </c>
      <c r="AD42" s="324"/>
      <c r="AF42" s="501"/>
      <c r="AO42" s="1032">
        <v>2023</v>
      </c>
      <c r="AP42" s="1032" t="s">
        <v>883</v>
      </c>
      <c r="AQ42" s="1032" t="s">
        <v>884</v>
      </c>
      <c r="AR42" s="1032" t="s">
        <v>1269</v>
      </c>
      <c r="AS42" s="1032" t="s">
        <v>885</v>
      </c>
      <c r="AT42" s="1032" t="s">
        <v>886</v>
      </c>
      <c r="AU42" s="1032" t="s">
        <v>887</v>
      </c>
    </row>
    <row r="43" spans="2:48">
      <c r="C43" s="45">
        <v>2016</v>
      </c>
      <c r="D43" s="45"/>
      <c r="E43" s="324">
        <v>139.30000000000001</v>
      </c>
      <c r="F43" s="324">
        <v>153.6</v>
      </c>
      <c r="G43" s="324">
        <v>97.2</v>
      </c>
      <c r="H43" s="324">
        <f t="shared" si="20"/>
        <v>124.30000000000001</v>
      </c>
      <c r="I43" s="551">
        <v>514.4</v>
      </c>
      <c r="J43" s="598">
        <v>20.3</v>
      </c>
      <c r="K43" s="599">
        <f t="shared" si="21"/>
        <v>2.5339901477832508E-2</v>
      </c>
      <c r="M43" s="756">
        <f t="shared" si="22"/>
        <v>2.5339901477832508E-2</v>
      </c>
      <c r="N43" s="45">
        <v>2016</v>
      </c>
      <c r="R43" s="45">
        <v>2011</v>
      </c>
      <c r="S43" s="318">
        <f t="shared" si="19"/>
        <v>705.3</v>
      </c>
      <c r="T43" s="318"/>
      <c r="U43" s="318"/>
      <c r="V43" s="333"/>
      <c r="W43" s="333"/>
      <c r="X43" s="318">
        <v>605.29999999999995</v>
      </c>
      <c r="Y43" s="318"/>
      <c r="Z43" s="333"/>
      <c r="AA43" s="318">
        <v>120</v>
      </c>
      <c r="AB43" s="318">
        <v>-20</v>
      </c>
      <c r="AD43" s="324"/>
      <c r="AO43" s="602">
        <v>45016</v>
      </c>
      <c r="AP43" s="603">
        <v>4.7399999999999998E-2</v>
      </c>
      <c r="AQ43" s="603">
        <v>4.6399999999999997E-2</v>
      </c>
      <c r="AR43" s="603">
        <v>4.0599999999999997E-2</v>
      </c>
      <c r="AS43" s="603">
        <v>3.8100000000000002E-2</v>
      </c>
      <c r="AT43" s="603">
        <v>3.5999999999999997E-2</v>
      </c>
      <c r="AU43" s="603">
        <v>3.4799999999999998E-2</v>
      </c>
    </row>
    <row r="44" spans="2:48">
      <c r="C44" s="45">
        <v>2017</v>
      </c>
      <c r="D44" s="45"/>
      <c r="E44" s="324">
        <v>113.6</v>
      </c>
      <c r="F44" s="324">
        <v>90.6</v>
      </c>
      <c r="G44" s="324">
        <v>147.19999999999999</v>
      </c>
      <c r="H44" s="324">
        <f t="shared" si="20"/>
        <v>163.20000000000007</v>
      </c>
      <c r="I44" s="551">
        <v>514.6</v>
      </c>
      <c r="J44" s="598">
        <v>28</v>
      </c>
      <c r="K44" s="599">
        <f t="shared" si="21"/>
        <v>1.8378571428571432E-2</v>
      </c>
      <c r="M44" s="756">
        <f t="shared" si="22"/>
        <v>1.8378571428571432E-2</v>
      </c>
      <c r="N44" s="45">
        <v>2017</v>
      </c>
      <c r="R44" s="45">
        <v>2010</v>
      </c>
      <c r="S44" s="318">
        <f t="shared" si="19"/>
        <v>711.5</v>
      </c>
      <c r="T44" s="318"/>
      <c r="U44" s="318"/>
      <c r="V44" s="333"/>
      <c r="W44" s="333"/>
      <c r="X44" s="318">
        <v>603.20000000000005</v>
      </c>
      <c r="Y44" s="318"/>
      <c r="Z44" s="333"/>
      <c r="AA44" s="318">
        <v>128.80000000000001</v>
      </c>
      <c r="AB44" s="318">
        <v>-20.5</v>
      </c>
      <c r="AC44" s="475"/>
      <c r="AD44" s="324"/>
      <c r="AE44" s="53"/>
      <c r="AF44" s="53"/>
      <c r="AO44" s="602">
        <v>45107</v>
      </c>
      <c r="AP44" s="603">
        <v>5.2400000000000002E-2</v>
      </c>
      <c r="AQ44" s="603">
        <v>5.3999999999999999E-2</v>
      </c>
      <c r="AR44" s="603">
        <v>4.87E-2</v>
      </c>
      <c r="AS44" s="603">
        <v>4.4900000000000002E-2</v>
      </c>
      <c r="AT44" s="603">
        <v>4.1300000000000003E-2</v>
      </c>
      <c r="AU44" s="603">
        <v>3.8100000000000002E-2</v>
      </c>
    </row>
    <row r="45" spans="2:48">
      <c r="C45" s="45">
        <v>2018</v>
      </c>
      <c r="D45" s="45"/>
      <c r="E45" s="324">
        <v>201.1</v>
      </c>
      <c r="F45" s="324">
        <v>169.2</v>
      </c>
      <c r="G45" s="324">
        <v>182.8</v>
      </c>
      <c r="H45" s="324">
        <f t="shared" si="20"/>
        <v>190.79999999999993</v>
      </c>
      <c r="I45" s="551">
        <v>743.9</v>
      </c>
      <c r="J45" s="598">
        <v>26.7</v>
      </c>
      <c r="K45" s="599">
        <f t="shared" si="21"/>
        <v>2.7861423220973784E-2</v>
      </c>
      <c r="M45" s="756">
        <f t="shared" si="22"/>
        <v>2.7861423220973784E-2</v>
      </c>
      <c r="N45" s="45">
        <v>2018</v>
      </c>
      <c r="AO45" s="602">
        <v>45199</v>
      </c>
      <c r="AP45" s="603">
        <v>5.5500000000000001E-2</v>
      </c>
      <c r="AQ45" s="603">
        <v>5.4600000000000003E-2</v>
      </c>
      <c r="AR45" s="603">
        <v>5.0299999999999997E-2</v>
      </c>
      <c r="AS45" s="603">
        <v>4.8000000000000001E-2</v>
      </c>
      <c r="AT45" s="603">
        <v>4.5999999999999999E-2</v>
      </c>
      <c r="AU45" s="603">
        <v>4.5900000000000003E-2</v>
      </c>
    </row>
    <row r="46" spans="2:48">
      <c r="C46" s="45">
        <v>2019</v>
      </c>
      <c r="D46" s="45"/>
      <c r="E46" s="324">
        <v>209.5</v>
      </c>
      <c r="F46" s="324">
        <v>204.6</v>
      </c>
      <c r="G46" s="324">
        <v>206.9</v>
      </c>
      <c r="H46" s="324">
        <f t="shared" si="20"/>
        <v>205.29999999999995</v>
      </c>
      <c r="I46" s="551">
        <v>826.3</v>
      </c>
      <c r="J46" s="598">
        <v>26.3</v>
      </c>
      <c r="K46" s="599">
        <f t="shared" si="21"/>
        <v>3.1418250950570339E-2</v>
      </c>
      <c r="M46" s="756">
        <f t="shared" si="22"/>
        <v>3.1418250950570339E-2</v>
      </c>
      <c r="N46" s="45">
        <v>2019</v>
      </c>
      <c r="AO46" s="1070">
        <v>45217</v>
      </c>
      <c r="AP46" s="1071">
        <v>5.5800000000000002E-2</v>
      </c>
      <c r="AQ46" s="1071">
        <v>5.4399999999999997E-2</v>
      </c>
      <c r="AR46" s="1071">
        <v>5.1900000000000002E-2</v>
      </c>
      <c r="AS46" s="1071">
        <v>5.0099999999999999E-2</v>
      </c>
      <c r="AT46" s="1071">
        <v>4.9500000000000002E-2</v>
      </c>
      <c r="AU46" s="1071">
        <v>4.9799999999999997E-2</v>
      </c>
      <c r="AV46" t="s">
        <v>1314</v>
      </c>
    </row>
    <row r="47" spans="2:48" ht="17" thickBot="1">
      <c r="C47" s="159">
        <v>2020</v>
      </c>
      <c r="D47" s="159"/>
      <c r="E47" s="903">
        <v>206.7</v>
      </c>
      <c r="F47" s="903">
        <v>192.2</v>
      </c>
      <c r="G47" s="903">
        <v>163.9</v>
      </c>
      <c r="H47" s="903">
        <f t="shared" si="20"/>
        <v>153.70000000000005</v>
      </c>
      <c r="I47" s="900">
        <v>716.5</v>
      </c>
      <c r="J47" s="921">
        <v>29.8</v>
      </c>
      <c r="K47" s="922">
        <f t="shared" si="21"/>
        <v>2.4043624161073827E-2</v>
      </c>
      <c r="M47" s="756">
        <f t="shared" si="22"/>
        <v>2.4043624161073827E-2</v>
      </c>
      <c r="N47" s="159">
        <v>2020</v>
      </c>
      <c r="AO47" s="1072">
        <v>45657</v>
      </c>
      <c r="AP47" s="1073">
        <v>5.6000000000000001E-2</v>
      </c>
      <c r="AQ47" s="1073">
        <v>4.7899999999999998E-2</v>
      </c>
      <c r="AR47" s="1073">
        <v>4.2299999999999997E-2</v>
      </c>
      <c r="AS47" s="1073">
        <v>4.0099999999999997E-2</v>
      </c>
      <c r="AT47" s="1073">
        <v>3.8399999999999997E-2</v>
      </c>
      <c r="AU47" s="1073">
        <v>3.8800000000000001E-2</v>
      </c>
    </row>
    <row r="48" spans="2:48">
      <c r="B48">
        <v>2021</v>
      </c>
      <c r="C48" s="923" t="s">
        <v>816</v>
      </c>
      <c r="D48" s="924"/>
      <c r="E48" s="925">
        <v>153</v>
      </c>
      <c r="F48" s="925">
        <v>148.19999999999999</v>
      </c>
      <c r="G48" s="925">
        <v>137</v>
      </c>
      <c r="H48" s="925">
        <f t="shared" si="20"/>
        <v>130.19999999999999</v>
      </c>
      <c r="I48" s="926">
        <v>568.4</v>
      </c>
      <c r="J48" s="927">
        <v>36.799999999999997</v>
      </c>
      <c r="K48" s="928">
        <f t="shared" si="21"/>
        <v>1.5445652173913044E-2</v>
      </c>
      <c r="M48" s="756">
        <f>+K51</f>
        <v>1.5445652173913044E-2</v>
      </c>
      <c r="N48" s="159">
        <v>2021</v>
      </c>
      <c r="AO48" s="1030">
        <v>2024</v>
      </c>
      <c r="AP48" s="1030" t="s">
        <v>883</v>
      </c>
      <c r="AQ48" s="1030" t="s">
        <v>884</v>
      </c>
      <c r="AR48" s="1030" t="s">
        <v>1269</v>
      </c>
      <c r="AS48" s="1030" t="s">
        <v>885</v>
      </c>
      <c r="AT48" s="1030" t="s">
        <v>886</v>
      </c>
      <c r="AU48" s="1030" t="s">
        <v>887</v>
      </c>
    </row>
    <row r="49" spans="2:50">
      <c r="C49" s="929" t="s">
        <v>965</v>
      </c>
      <c r="D49" s="45"/>
      <c r="E49" s="324">
        <v>20.5</v>
      </c>
      <c r="F49" s="324">
        <v>18.8</v>
      </c>
      <c r="G49" s="324">
        <v>38</v>
      </c>
      <c r="H49" s="324">
        <v>30.9</v>
      </c>
      <c r="I49" s="920">
        <f>SUM(E49:H49)</f>
        <v>108.19999999999999</v>
      </c>
      <c r="J49" s="598"/>
      <c r="K49" s="930"/>
      <c r="M49" s="756">
        <f>+K19</f>
        <v>2.245501285347044E-2</v>
      </c>
      <c r="N49" s="159">
        <v>2022</v>
      </c>
      <c r="AG49" s="53"/>
      <c r="AO49" s="602">
        <v>45016</v>
      </c>
      <c r="AP49" s="603">
        <v>5.4899999999999997E-2</v>
      </c>
      <c r="AQ49" s="603">
        <v>5.0299999999999997E-2</v>
      </c>
      <c r="AR49" s="603">
        <v>4.5900000000000003E-2</v>
      </c>
      <c r="AS49" s="603">
        <v>4.3999999999999997E-2</v>
      </c>
      <c r="AT49" s="603">
        <v>4.2099999999999999E-2</v>
      </c>
      <c r="AU49" s="603">
        <v>4.2000000000000003E-2</v>
      </c>
    </row>
    <row r="50" spans="2:50">
      <c r="C50" s="929" t="s">
        <v>1059</v>
      </c>
      <c r="D50" s="45"/>
      <c r="E50" s="324">
        <v>-5.6</v>
      </c>
      <c r="F50" s="324">
        <v>-6.2</v>
      </c>
      <c r="G50" s="324">
        <v>-7.8</v>
      </c>
      <c r="H50" s="324">
        <v>-16.2</v>
      </c>
      <c r="I50" s="920">
        <f t="shared" ref="I50:I51" si="23">SUM(E50:H50)</f>
        <v>-35.799999999999997</v>
      </c>
      <c r="J50" s="598"/>
      <c r="K50" s="930"/>
      <c r="AG50" s="53"/>
      <c r="AO50" s="602">
        <v>45473</v>
      </c>
      <c r="AP50" s="1073">
        <v>5.4699999999999999E-2</v>
      </c>
      <c r="AQ50" s="1073">
        <v>5.0900000000000001E-2</v>
      </c>
      <c r="AR50" s="1073">
        <v>4.7100000000000003E-2</v>
      </c>
      <c r="AS50" s="1073">
        <v>4.5199999999999997E-2</v>
      </c>
      <c r="AT50" s="1073">
        <v>4.3299999999999998E-2</v>
      </c>
      <c r="AU50" s="1073">
        <v>4.36E-2</v>
      </c>
    </row>
    <row r="51" spans="2:50" ht="17" thickBot="1">
      <c r="C51" s="931" t="s">
        <v>1224</v>
      </c>
      <c r="D51" s="932"/>
      <c r="E51" s="933">
        <f>SUM(E48:E50)</f>
        <v>167.9</v>
      </c>
      <c r="F51" s="933">
        <f>SUM(F48:F50)</f>
        <v>160.80000000000001</v>
      </c>
      <c r="G51" s="933">
        <f t="shared" ref="G51" si="24">SUM(G48:G50)</f>
        <v>167.2</v>
      </c>
      <c r="H51" s="933">
        <f t="shared" ref="H51" si="25">SUM(H48:H50)</f>
        <v>144.9</v>
      </c>
      <c r="I51" s="934">
        <f t="shared" si="23"/>
        <v>640.80000000000007</v>
      </c>
      <c r="J51" s="935">
        <f t="shared" ref="J51" si="26">SUM(J48:J50)</f>
        <v>36.799999999999997</v>
      </c>
      <c r="K51" s="936">
        <f t="shared" ref="K51" si="27">SUM(K48:K50)</f>
        <v>1.5445652173913044E-2</v>
      </c>
      <c r="R51" s="30"/>
      <c r="S51" s="53"/>
      <c r="T51" s="53"/>
      <c r="U51" s="53"/>
      <c r="V51" s="53"/>
      <c r="W51" s="53"/>
      <c r="X51" s="53"/>
      <c r="Y51" s="53"/>
      <c r="Z51" s="53"/>
      <c r="AA51" s="53"/>
      <c r="AB51" s="53"/>
      <c r="AC51" s="53"/>
      <c r="AD51" s="53"/>
      <c r="AE51" s="53"/>
      <c r="AF51" s="53"/>
      <c r="AG51" s="53"/>
    </row>
    <row r="52" spans="2:50">
      <c r="R52" s="30"/>
      <c r="S52" s="53"/>
      <c r="T52" s="53"/>
      <c r="U52" s="53"/>
      <c r="V52" s="53"/>
      <c r="W52" s="53"/>
      <c r="X52" s="53"/>
      <c r="Y52" s="53"/>
      <c r="Z52" s="53"/>
      <c r="AA52" s="53"/>
      <c r="AB52" s="53"/>
      <c r="AC52" s="53"/>
      <c r="AD52" s="53"/>
      <c r="AE52" s="53"/>
      <c r="AF52" s="53"/>
      <c r="AG52" s="53"/>
    </row>
    <row r="53" spans="2:50">
      <c r="R53" s="30"/>
      <c r="S53" s="53"/>
      <c r="T53" s="53"/>
      <c r="U53" s="53"/>
      <c r="V53" s="53"/>
      <c r="W53" s="53"/>
      <c r="X53" s="53"/>
      <c r="Y53" s="53"/>
      <c r="Z53" s="53"/>
      <c r="AA53" s="53"/>
      <c r="AB53" s="53"/>
      <c r="AC53" s="53"/>
      <c r="AD53" s="53"/>
      <c r="AE53" s="53"/>
      <c r="AF53" s="53"/>
      <c r="AG53" s="53"/>
    </row>
    <row r="54" spans="2:50">
      <c r="AG54" s="53"/>
    </row>
    <row r="55" spans="2:50">
      <c r="B55" s="11" t="s">
        <v>1087</v>
      </c>
      <c r="C55" s="1"/>
      <c r="E55" s="53"/>
      <c r="F55" s="359"/>
      <c r="G55" s="53"/>
      <c r="I55" s="964" t="s">
        <v>19</v>
      </c>
      <c r="U55" s="53"/>
      <c r="V55" s="53"/>
      <c r="AA55" s="104"/>
    </row>
    <row r="56" spans="2:50">
      <c r="B56" s="791" t="s">
        <v>1305</v>
      </c>
      <c r="H56" s="151" t="s">
        <v>1083</v>
      </c>
      <c r="I56" s="965" t="s">
        <v>823</v>
      </c>
      <c r="U56" s="636"/>
      <c r="V56" s="636"/>
      <c r="AA56" s="104"/>
    </row>
    <row r="57" spans="2:50">
      <c r="C57" s="40" t="s">
        <v>761</v>
      </c>
      <c r="D57" s="40" t="s">
        <v>778</v>
      </c>
      <c r="E57" s="40" t="s">
        <v>779</v>
      </c>
      <c r="F57" s="40" t="s">
        <v>148</v>
      </c>
      <c r="G57" s="40" t="s">
        <v>780</v>
      </c>
      <c r="H57" s="71" t="s">
        <v>16</v>
      </c>
      <c r="I57" s="965" t="s">
        <v>824</v>
      </c>
      <c r="J57" s="212" t="s">
        <v>917</v>
      </c>
      <c r="AA57" s="104"/>
    </row>
    <row r="58" spans="2:50">
      <c r="C58" s="41" t="s">
        <v>1217</v>
      </c>
      <c r="D58" s="41" t="s">
        <v>1217</v>
      </c>
      <c r="E58" s="41" t="s">
        <v>1217</v>
      </c>
      <c r="F58" s="41" t="s">
        <v>1217</v>
      </c>
      <c r="G58" s="41" t="s">
        <v>1217</v>
      </c>
      <c r="H58" s="101" t="s">
        <v>39</v>
      </c>
      <c r="I58" s="679" t="s">
        <v>1203</v>
      </c>
      <c r="J58" s="114" t="s">
        <v>168</v>
      </c>
      <c r="AA58" s="104"/>
    </row>
    <row r="59" spans="2:50">
      <c r="B59" s="45">
        <v>2016</v>
      </c>
      <c r="C59" s="324">
        <v>139.30000000000001</v>
      </c>
      <c r="D59" s="324">
        <v>153.6</v>
      </c>
      <c r="E59" s="324">
        <v>97.2</v>
      </c>
      <c r="F59" s="324">
        <f t="shared" ref="F59:F64" si="28">+G59-E59-D59-C59</f>
        <v>124.30000000000001</v>
      </c>
      <c r="G59" s="551">
        <v>514.4</v>
      </c>
      <c r="H59" s="785" t="s">
        <v>40</v>
      </c>
      <c r="I59" s="966">
        <v>20.3</v>
      </c>
      <c r="J59" s="906">
        <f t="shared" ref="J59:J67" si="29">+G59/I59/1000</f>
        <v>2.5339901477832508E-2</v>
      </c>
      <c r="AA59" s="104"/>
    </row>
    <row r="60" spans="2:50">
      <c r="B60" s="45">
        <v>2017</v>
      </c>
      <c r="C60" s="324">
        <v>113.6</v>
      </c>
      <c r="D60" s="324">
        <v>90.6</v>
      </c>
      <c r="E60" s="324">
        <v>147.19999999999999</v>
      </c>
      <c r="F60" s="324">
        <f t="shared" si="28"/>
        <v>163.20000000000007</v>
      </c>
      <c r="G60" s="551">
        <v>514.6</v>
      </c>
      <c r="H60" s="785">
        <f t="shared" ref="H60:H67" si="30">+(G60-G59)/G59</f>
        <v>3.8880248833601377E-4</v>
      </c>
      <c r="I60" s="967">
        <v>28</v>
      </c>
      <c r="J60" s="906">
        <f t="shared" si="29"/>
        <v>1.8378571428571432E-2</v>
      </c>
      <c r="AA60" s="104"/>
    </row>
    <row r="61" spans="2:50">
      <c r="B61" s="45">
        <v>2018</v>
      </c>
      <c r="C61" s="324">
        <v>201.1</v>
      </c>
      <c r="D61" s="324">
        <v>169.2</v>
      </c>
      <c r="E61" s="324">
        <v>182.8</v>
      </c>
      <c r="F61" s="324">
        <f t="shared" si="28"/>
        <v>190.79999999999993</v>
      </c>
      <c r="G61" s="551">
        <v>743.9</v>
      </c>
      <c r="H61" s="785">
        <f t="shared" si="30"/>
        <v>0.4455888068402642</v>
      </c>
      <c r="I61" s="967">
        <v>26.7</v>
      </c>
      <c r="J61" s="599">
        <f t="shared" si="29"/>
        <v>2.7861423220973784E-2</v>
      </c>
      <c r="AA61" s="104"/>
    </row>
    <row r="62" spans="2:50">
      <c r="B62" s="45">
        <v>2019</v>
      </c>
      <c r="C62" s="324">
        <v>209.5</v>
      </c>
      <c r="D62" s="324">
        <v>204.6</v>
      </c>
      <c r="E62" s="324">
        <v>206.9</v>
      </c>
      <c r="F62" s="324">
        <f t="shared" si="28"/>
        <v>205.29999999999995</v>
      </c>
      <c r="G62" s="551">
        <v>826.3</v>
      </c>
      <c r="H62" s="785">
        <f t="shared" si="30"/>
        <v>0.11076757628713534</v>
      </c>
      <c r="I62" s="967">
        <v>26.3</v>
      </c>
      <c r="J62" s="599">
        <f t="shared" si="29"/>
        <v>3.1418250950570339E-2</v>
      </c>
      <c r="X62" s="492"/>
      <c r="AA62" s="104"/>
    </row>
    <row r="63" spans="2:50">
      <c r="B63" s="45">
        <v>2020</v>
      </c>
      <c r="C63" s="324">
        <v>206.7</v>
      </c>
      <c r="D63" s="324">
        <v>192.2</v>
      </c>
      <c r="E63" s="324">
        <v>163.9</v>
      </c>
      <c r="F63" s="324">
        <f t="shared" si="28"/>
        <v>153.70000000000005</v>
      </c>
      <c r="G63" s="551">
        <v>716.5</v>
      </c>
      <c r="H63" s="785">
        <f t="shared" si="30"/>
        <v>-0.1328815200290451</v>
      </c>
      <c r="I63" s="967">
        <v>29.8</v>
      </c>
      <c r="J63" s="599">
        <f t="shared" si="29"/>
        <v>2.4043624161073827E-2</v>
      </c>
      <c r="X63" s="492"/>
      <c r="AA63" s="104"/>
    </row>
    <row r="64" spans="2:50">
      <c r="B64" s="45">
        <v>2021</v>
      </c>
      <c r="C64" s="324">
        <v>153</v>
      </c>
      <c r="D64" s="324">
        <v>148.19999999999999</v>
      </c>
      <c r="E64" s="324">
        <v>137</v>
      </c>
      <c r="F64" s="324">
        <f t="shared" si="28"/>
        <v>130.19999999999999</v>
      </c>
      <c r="G64" s="551">
        <v>568.4</v>
      </c>
      <c r="H64" s="785">
        <f t="shared" si="30"/>
        <v>-0.2066992323796232</v>
      </c>
      <c r="I64" s="967">
        <v>36.799999999999997</v>
      </c>
      <c r="J64" s="781">
        <f t="shared" si="29"/>
        <v>1.5445652173913044E-2</v>
      </c>
      <c r="X64" s="492"/>
      <c r="AA64" s="104"/>
      <c r="AI64" s="30"/>
      <c r="AJ64" s="855"/>
      <c r="AK64" s="425"/>
      <c r="AL64" s="53"/>
      <c r="AM64" s="974"/>
      <c r="AV64" s="53"/>
      <c r="AW64" s="53"/>
      <c r="AX64" s="30"/>
    </row>
    <row r="65" spans="2:50">
      <c r="B65" s="45">
        <v>2022</v>
      </c>
      <c r="C65" s="324">
        <v>153.4</v>
      </c>
      <c r="D65" s="324">
        <v>176.4</v>
      </c>
      <c r="E65" s="324">
        <v>229.8</v>
      </c>
      <c r="F65" s="324">
        <v>314</v>
      </c>
      <c r="G65" s="551">
        <v>873.5</v>
      </c>
      <c r="H65" s="785">
        <f t="shared" si="30"/>
        <v>0.53676988036593953</v>
      </c>
      <c r="I65" s="967">
        <v>38.9</v>
      </c>
      <c r="J65" s="781">
        <f t="shared" si="29"/>
        <v>2.245501285347044E-2</v>
      </c>
      <c r="X65" s="492"/>
      <c r="AA65" s="104"/>
      <c r="AI65" s="30"/>
      <c r="AJ65" s="855"/>
      <c r="AK65" s="425"/>
      <c r="AL65" s="53"/>
      <c r="AM65" s="974"/>
      <c r="AV65" s="53"/>
      <c r="AW65" s="53"/>
      <c r="AX65" s="30"/>
    </row>
    <row r="66" spans="2:50">
      <c r="B66" s="560" t="s">
        <v>815</v>
      </c>
      <c r="C66" s="324">
        <v>362</v>
      </c>
      <c r="D66" s="324">
        <v>443</v>
      </c>
      <c r="E66" s="324">
        <f>+G23</f>
        <v>495.7</v>
      </c>
      <c r="F66" s="705">
        <v>520</v>
      </c>
      <c r="G66" s="604">
        <f>SUM(C66:F66)</f>
        <v>1820.7</v>
      </c>
      <c r="H66" s="786">
        <f t="shared" si="30"/>
        <v>1.084373211219233</v>
      </c>
      <c r="I66" s="958">
        <v>42</v>
      </c>
      <c r="J66" s="959">
        <f t="shared" si="29"/>
        <v>4.335E-2</v>
      </c>
      <c r="X66" s="492"/>
      <c r="AI66" s="30"/>
      <c r="AJ66" s="855"/>
      <c r="AK66" s="425"/>
      <c r="AL66" s="53"/>
      <c r="AM66" s="974"/>
      <c r="AV66" s="53"/>
      <c r="AW66" s="53"/>
      <c r="AX66" s="30"/>
    </row>
    <row r="67" spans="2:50">
      <c r="B67" s="746" t="s">
        <v>1060</v>
      </c>
      <c r="C67" s="769">
        <v>540</v>
      </c>
      <c r="D67" s="769">
        <v>535</v>
      </c>
      <c r="E67" s="769">
        <v>530</v>
      </c>
      <c r="F67" s="769">
        <v>520</v>
      </c>
      <c r="G67" s="782">
        <f>SUM(C67:F67)</f>
        <v>2125</v>
      </c>
      <c r="H67" s="787">
        <f t="shared" si="30"/>
        <v>0.16713352007469651</v>
      </c>
      <c r="I67" s="960">
        <v>47</v>
      </c>
      <c r="J67" s="961">
        <f t="shared" si="29"/>
        <v>4.5212765957446804E-2</v>
      </c>
      <c r="X67" s="492"/>
      <c r="AI67" s="30"/>
      <c r="AJ67" s="855"/>
      <c r="AK67" s="425"/>
      <c r="AL67" s="53"/>
      <c r="AM67" s="974"/>
      <c r="AV67" s="53"/>
      <c r="AW67" s="53"/>
      <c r="AX67" s="31"/>
    </row>
    <row r="68" spans="2:50">
      <c r="X68" s="492"/>
      <c r="AI68" s="30"/>
      <c r="AJ68" s="855"/>
      <c r="AK68" s="425"/>
      <c r="AL68" s="53"/>
      <c r="AM68" s="974"/>
      <c r="AV68" s="53"/>
      <c r="AW68" s="53"/>
      <c r="AX68" s="31"/>
    </row>
    <row r="69" spans="2:50">
      <c r="B69" s="742" t="s">
        <v>1061</v>
      </c>
      <c r="C69" s="770">
        <v>515</v>
      </c>
      <c r="D69" s="770">
        <v>515</v>
      </c>
      <c r="E69" s="770">
        <v>510</v>
      </c>
      <c r="F69" s="770">
        <v>510</v>
      </c>
      <c r="G69" s="783">
        <f>SUM(C69:F69)</f>
        <v>2050</v>
      </c>
      <c r="H69" s="788">
        <f>+(G69-G67)/G67</f>
        <v>-3.5294117647058823E-2</v>
      </c>
      <c r="I69" s="962">
        <v>49</v>
      </c>
      <c r="J69" s="963">
        <f t="shared" ref="J69" si="31">+G69/I69/1000</f>
        <v>4.1836734693877553E-2</v>
      </c>
    </row>
    <row r="71" spans="2:50">
      <c r="D71" t="s">
        <v>1885</v>
      </c>
    </row>
    <row r="72" spans="2:50">
      <c r="R72" s="13"/>
    </row>
    <row r="73" spans="2:50">
      <c r="D73" s="11" t="s">
        <v>1233</v>
      </c>
      <c r="K73" t="s">
        <v>925</v>
      </c>
      <c r="N73" s="13"/>
    </row>
    <row r="74" spans="2:50">
      <c r="N74" s="13"/>
    </row>
    <row r="75" spans="2:50">
      <c r="C75" s="538"/>
      <c r="D75" s="587">
        <v>2024</v>
      </c>
      <c r="E75" s="587">
        <v>2023</v>
      </c>
      <c r="F75" s="587">
        <v>2022</v>
      </c>
      <c r="G75" s="587">
        <v>2021</v>
      </c>
      <c r="H75" s="587">
        <v>2020</v>
      </c>
      <c r="I75" s="587">
        <v>2019</v>
      </c>
      <c r="J75" s="587">
        <v>2018</v>
      </c>
      <c r="K75" s="587">
        <v>2017</v>
      </c>
      <c r="L75" s="587">
        <v>2016</v>
      </c>
      <c r="M75" s="587">
        <v>2015</v>
      </c>
      <c r="N75" s="588">
        <v>2014</v>
      </c>
    </row>
    <row r="76" spans="2:50">
      <c r="C76" s="549"/>
      <c r="D76" s="30"/>
      <c r="E76" s="30"/>
      <c r="N76" s="547"/>
    </row>
    <row r="77" spans="2:50">
      <c r="B77" t="s">
        <v>819</v>
      </c>
      <c r="C77" s="549" t="s">
        <v>165</v>
      </c>
      <c r="D77" s="53">
        <f>663.2+101.1</f>
        <v>764.30000000000007</v>
      </c>
      <c r="E77" s="53">
        <f>406.8+2.5</f>
        <v>409.3</v>
      </c>
      <c r="F77" s="53">
        <f>552+40.6</f>
        <v>592.6</v>
      </c>
      <c r="G77" s="53">
        <v>466</v>
      </c>
      <c r="H77" s="53">
        <v>280</v>
      </c>
      <c r="I77" s="53">
        <v>184</v>
      </c>
      <c r="J77" s="53">
        <v>228</v>
      </c>
      <c r="K77" s="53">
        <v>995</v>
      </c>
      <c r="L77" s="53">
        <v>533</v>
      </c>
      <c r="M77" s="53">
        <v>222</v>
      </c>
      <c r="N77" s="589">
        <v>318</v>
      </c>
    </row>
    <row r="78" spans="2:50">
      <c r="C78" s="549" t="s">
        <v>166</v>
      </c>
      <c r="D78" s="53">
        <v>51.6</v>
      </c>
      <c r="E78" s="53">
        <f>192.9+127.8</f>
        <v>320.7</v>
      </c>
      <c r="F78" s="53">
        <f>127+64</f>
        <v>191</v>
      </c>
      <c r="G78" s="53">
        <v>217</v>
      </c>
      <c r="H78" s="53">
        <v>159</v>
      </c>
      <c r="I78" s="53">
        <v>128</v>
      </c>
      <c r="J78" s="53">
        <v>20</v>
      </c>
      <c r="K78" s="53">
        <v>115</v>
      </c>
      <c r="L78" s="53">
        <v>285</v>
      </c>
      <c r="M78" s="53">
        <v>241</v>
      </c>
      <c r="N78" s="589">
        <v>122</v>
      </c>
    </row>
    <row r="79" spans="2:50">
      <c r="C79" s="549" t="s">
        <v>167</v>
      </c>
      <c r="D79" s="53">
        <f>444.8+92.5</f>
        <v>537.29999999999995</v>
      </c>
      <c r="E79" s="53">
        <f>344.3+67.4</f>
        <v>411.70000000000005</v>
      </c>
      <c r="F79" s="53">
        <v>243</v>
      </c>
      <c r="G79" s="53">
        <v>243</v>
      </c>
      <c r="H79" s="53">
        <v>457</v>
      </c>
      <c r="I79" s="53">
        <v>396</v>
      </c>
      <c r="J79" s="53">
        <v>503</v>
      </c>
      <c r="K79" s="53">
        <v>380.9</v>
      </c>
      <c r="L79" s="53">
        <v>265</v>
      </c>
      <c r="M79" s="53">
        <v>512</v>
      </c>
      <c r="N79" s="589">
        <v>324</v>
      </c>
    </row>
    <row r="80" spans="2:50">
      <c r="B80" t="s">
        <v>820</v>
      </c>
      <c r="C80" s="549" t="s">
        <v>165</v>
      </c>
      <c r="D80" s="53">
        <v>6662.1</v>
      </c>
      <c r="E80" s="53">
        <v>5157.2</v>
      </c>
      <c r="F80" s="53">
        <v>6203</v>
      </c>
      <c r="G80" s="53">
        <v>12283</v>
      </c>
      <c r="H80" s="53">
        <v>4887</v>
      </c>
      <c r="I80" s="53">
        <v>3955</v>
      </c>
      <c r="J80" s="53">
        <v>4584</v>
      </c>
      <c r="K80" s="53">
        <v>7384</v>
      </c>
      <c r="L80" s="53">
        <v>3943</v>
      </c>
      <c r="M80" s="53">
        <v>3228</v>
      </c>
      <c r="N80" s="589">
        <v>3035</v>
      </c>
    </row>
    <row r="81" spans="2:20">
      <c r="C81" s="549" t="s">
        <v>166</v>
      </c>
      <c r="D81" s="53">
        <v>958.4</v>
      </c>
      <c r="E81" s="53">
        <v>2008.4</v>
      </c>
      <c r="F81" s="53">
        <v>3165</v>
      </c>
      <c r="G81" s="53">
        <v>9516</v>
      </c>
      <c r="H81" s="53">
        <v>8311</v>
      </c>
      <c r="I81" s="53">
        <v>6067</v>
      </c>
      <c r="J81" s="53">
        <v>2138</v>
      </c>
      <c r="K81" s="53">
        <v>9998</v>
      </c>
      <c r="L81" s="53">
        <v>5994</v>
      </c>
      <c r="M81" s="53">
        <v>3414</v>
      </c>
      <c r="N81" s="589">
        <v>2500</v>
      </c>
      <c r="R81" s="340"/>
    </row>
    <row r="82" spans="2:20">
      <c r="C82" s="549" t="s">
        <v>167</v>
      </c>
      <c r="D82" s="53">
        <f>37390.3+150.8</f>
        <v>37541.100000000006</v>
      </c>
      <c r="E82" s="53">
        <f>36850.8+139.3</f>
        <v>36990.100000000006</v>
      </c>
      <c r="F82" s="53">
        <v>28579</v>
      </c>
      <c r="G82" s="53">
        <v>14091</v>
      </c>
      <c r="H82" s="53">
        <v>15735</v>
      </c>
      <c r="I82" s="53">
        <v>15618</v>
      </c>
      <c r="J82" s="53">
        <v>19256</v>
      </c>
      <c r="K82" s="53">
        <v>9154</v>
      </c>
      <c r="L82" s="53">
        <v>9323</v>
      </c>
      <c r="M82" s="53">
        <v>12287</v>
      </c>
      <c r="N82" s="589">
        <v>11446</v>
      </c>
      <c r="R82" s="340"/>
      <c r="S82" s="42"/>
      <c r="T82" s="42"/>
    </row>
    <row r="83" spans="2:20">
      <c r="C83" s="590" t="s">
        <v>19</v>
      </c>
      <c r="D83" s="469">
        <f>SUM(D77:D82)</f>
        <v>46514.8</v>
      </c>
      <c r="E83" s="469">
        <f t="shared" ref="E83" si="32">SUM(E77:E82)</f>
        <v>45297.400000000009</v>
      </c>
      <c r="F83" s="469">
        <f t="shared" ref="F83" si="33">SUM(F77:F82)</f>
        <v>38973.599999999999</v>
      </c>
      <c r="G83" s="469">
        <f t="shared" ref="G83:N83" si="34">SUM(G77:G82)</f>
        <v>36816</v>
      </c>
      <c r="H83" s="469">
        <f t="shared" si="34"/>
        <v>29829</v>
      </c>
      <c r="I83" s="469">
        <f t="shared" si="34"/>
        <v>26348</v>
      </c>
      <c r="J83" s="469">
        <f t="shared" si="34"/>
        <v>26729</v>
      </c>
      <c r="K83" s="469">
        <f t="shared" si="34"/>
        <v>28026.9</v>
      </c>
      <c r="L83" s="469">
        <f t="shared" si="34"/>
        <v>20343</v>
      </c>
      <c r="M83" s="469">
        <f t="shared" si="34"/>
        <v>19904</v>
      </c>
      <c r="N83" s="591">
        <f t="shared" si="34"/>
        <v>17745</v>
      </c>
      <c r="R83" s="340"/>
      <c r="S83" s="425"/>
      <c r="T83" s="54"/>
    </row>
    <row r="84" spans="2:20">
      <c r="C84" s="549"/>
      <c r="G84" s="53"/>
      <c r="H84" s="53"/>
      <c r="I84" s="53"/>
      <c r="J84" s="53"/>
      <c r="K84" s="53"/>
      <c r="L84" s="53"/>
      <c r="M84" s="53"/>
      <c r="N84" s="589"/>
      <c r="R84" s="340"/>
      <c r="S84" s="425"/>
      <c r="T84" s="54"/>
    </row>
    <row r="85" spans="2:20">
      <c r="C85" s="549" t="s">
        <v>165</v>
      </c>
      <c r="D85" s="53">
        <f>+D77+D80</f>
        <v>7426.4000000000005</v>
      </c>
      <c r="E85" s="53">
        <f t="shared" ref="E85" si="35">+E77+E80</f>
        <v>5566.5</v>
      </c>
      <c r="F85" s="53">
        <f t="shared" ref="F85:F87" si="36">+F77+F80</f>
        <v>6795.6</v>
      </c>
      <c r="G85" s="53">
        <f t="shared" ref="G85:N87" si="37">+G77+G80</f>
        <v>12749</v>
      </c>
      <c r="H85" s="53">
        <f t="shared" si="37"/>
        <v>5167</v>
      </c>
      <c r="I85" s="53">
        <f t="shared" si="37"/>
        <v>4139</v>
      </c>
      <c r="J85" s="53">
        <f t="shared" si="37"/>
        <v>4812</v>
      </c>
      <c r="K85" s="53">
        <f t="shared" si="37"/>
        <v>8379</v>
      </c>
      <c r="L85" s="53">
        <f t="shared" si="37"/>
        <v>4476</v>
      </c>
      <c r="M85" s="53">
        <f t="shared" si="37"/>
        <v>3450</v>
      </c>
      <c r="N85" s="589">
        <f t="shared" si="37"/>
        <v>3353</v>
      </c>
      <c r="R85" s="340"/>
      <c r="S85" s="425"/>
      <c r="T85" s="54"/>
    </row>
    <row r="86" spans="2:20">
      <c r="C86" s="549" t="s">
        <v>166</v>
      </c>
      <c r="D86" s="53">
        <f>+D78+D81</f>
        <v>1010</v>
      </c>
      <c r="E86" s="53">
        <f t="shared" ref="E86" si="38">+E78+E81</f>
        <v>2329.1</v>
      </c>
      <c r="F86" s="53">
        <f t="shared" si="36"/>
        <v>3356</v>
      </c>
      <c r="G86" s="53">
        <f t="shared" si="37"/>
        <v>9733</v>
      </c>
      <c r="H86" s="53">
        <f t="shared" si="37"/>
        <v>8470</v>
      </c>
      <c r="I86" s="53">
        <f t="shared" si="37"/>
        <v>6195</v>
      </c>
      <c r="J86" s="53">
        <f t="shared" si="37"/>
        <v>2158</v>
      </c>
      <c r="K86" s="53">
        <f t="shared" si="37"/>
        <v>10113</v>
      </c>
      <c r="L86" s="53">
        <f t="shared" si="37"/>
        <v>6279</v>
      </c>
      <c r="M86" s="53">
        <f t="shared" si="37"/>
        <v>3655</v>
      </c>
      <c r="N86" s="589">
        <f t="shared" si="37"/>
        <v>2622</v>
      </c>
      <c r="R86" s="340"/>
      <c r="S86" s="425"/>
      <c r="T86" s="54"/>
    </row>
    <row r="87" spans="2:20">
      <c r="C87" s="549" t="s">
        <v>167</v>
      </c>
      <c r="D87" s="53">
        <f>+D79+D82</f>
        <v>38078.400000000009</v>
      </c>
      <c r="E87" s="53">
        <f t="shared" ref="E87" si="39">+E79+E82</f>
        <v>37401.800000000003</v>
      </c>
      <c r="F87" s="53">
        <f t="shared" si="36"/>
        <v>28822</v>
      </c>
      <c r="G87" s="53">
        <f t="shared" si="37"/>
        <v>14334</v>
      </c>
      <c r="H87" s="53">
        <f t="shared" si="37"/>
        <v>16192</v>
      </c>
      <c r="I87" s="53">
        <f t="shared" si="37"/>
        <v>16014</v>
      </c>
      <c r="J87" s="53">
        <f t="shared" si="37"/>
        <v>19759</v>
      </c>
      <c r="K87" s="53">
        <f t="shared" si="37"/>
        <v>9534.9</v>
      </c>
      <c r="L87" s="53">
        <f t="shared" si="37"/>
        <v>9588</v>
      </c>
      <c r="M87" s="53">
        <f t="shared" si="37"/>
        <v>12799</v>
      </c>
      <c r="N87" s="589">
        <f t="shared" si="37"/>
        <v>11770</v>
      </c>
      <c r="R87" s="340"/>
      <c r="S87" s="425"/>
      <c r="T87" s="54"/>
    </row>
    <row r="88" spans="2:20">
      <c r="C88" s="592" t="s">
        <v>19</v>
      </c>
      <c r="D88" s="593">
        <f>SUM(D85:D87)</f>
        <v>46514.80000000001</v>
      </c>
      <c r="E88" s="593">
        <f t="shared" ref="E88" si="40">SUM(E85:E87)</f>
        <v>45297.4</v>
      </c>
      <c r="F88" s="593">
        <f t="shared" ref="F88" si="41">SUM(F85:F87)</f>
        <v>38973.599999999999</v>
      </c>
      <c r="G88" s="593">
        <f t="shared" ref="G88:N88" si="42">SUM(G85:G87)</f>
        <v>36816</v>
      </c>
      <c r="H88" s="593">
        <f t="shared" si="42"/>
        <v>29829</v>
      </c>
      <c r="I88" s="593">
        <f t="shared" si="42"/>
        <v>26348</v>
      </c>
      <c r="J88" s="593">
        <f t="shared" si="42"/>
        <v>26729</v>
      </c>
      <c r="K88" s="593">
        <f t="shared" si="42"/>
        <v>28026.9</v>
      </c>
      <c r="L88" s="593">
        <f t="shared" si="42"/>
        <v>20343</v>
      </c>
      <c r="M88" s="593">
        <f t="shared" si="42"/>
        <v>19904</v>
      </c>
      <c r="N88" s="594">
        <f t="shared" si="42"/>
        <v>17745</v>
      </c>
      <c r="R88" s="340"/>
      <c r="S88" s="425"/>
      <c r="T88" s="54"/>
    </row>
    <row r="89" spans="2:20">
      <c r="Q89" s="53"/>
      <c r="R89" s="340"/>
      <c r="S89" s="425"/>
      <c r="T89" s="54"/>
    </row>
    <row r="91" spans="2:20">
      <c r="D91" s="340"/>
    </row>
    <row r="92" spans="2:20">
      <c r="B92" s="11" t="s">
        <v>1415</v>
      </c>
      <c r="H92" s="11"/>
      <c r="O92" s="42"/>
      <c r="P92" s="42"/>
      <c r="Q92" s="11"/>
    </row>
    <row r="93" spans="2:20">
      <c r="C93" s="40" t="s">
        <v>823</v>
      </c>
      <c r="D93" s="2091" t="s">
        <v>1310</v>
      </c>
      <c r="E93" s="2095"/>
      <c r="F93" s="2092"/>
      <c r="I93" s="11" t="s">
        <v>1414</v>
      </c>
    </row>
    <row r="94" spans="2:20">
      <c r="C94" s="51" t="s">
        <v>824</v>
      </c>
      <c r="D94" s="1597"/>
      <c r="E94" s="1594" t="s">
        <v>16</v>
      </c>
      <c r="F94" s="51" t="s">
        <v>1311</v>
      </c>
      <c r="J94" s="829" t="s">
        <v>1458</v>
      </c>
      <c r="K94" s="829" t="s">
        <v>16</v>
      </c>
      <c r="L94" s="48" t="s">
        <v>1221</v>
      </c>
      <c r="M94" s="63"/>
      <c r="N94" s="63"/>
      <c r="O94" s="901"/>
      <c r="P94" s="901"/>
      <c r="Q94" s="129"/>
    </row>
    <row r="95" spans="2:20">
      <c r="C95" s="41" t="s">
        <v>1203</v>
      </c>
      <c r="D95" s="1091" t="s">
        <v>1667</v>
      </c>
      <c r="E95" s="1590" t="s">
        <v>39</v>
      </c>
      <c r="F95" s="41" t="s">
        <v>168</v>
      </c>
      <c r="I95" s="45">
        <v>2016</v>
      </c>
      <c r="J95" s="1600">
        <v>20.3</v>
      </c>
      <c r="K95" s="438"/>
      <c r="L95" s="50"/>
      <c r="M95" s="63"/>
      <c r="N95" s="63"/>
      <c r="O95" s="63"/>
      <c r="P95" s="63"/>
      <c r="Q95" s="913"/>
      <c r="R95" s="340">
        <v>20.3</v>
      </c>
    </row>
    <row r="96" spans="2:20">
      <c r="B96" s="45">
        <v>2016</v>
      </c>
      <c r="C96" s="904">
        <v>20.3</v>
      </c>
      <c r="D96" s="1591">
        <v>514.4</v>
      </c>
      <c r="E96" s="787">
        <v>0.125</v>
      </c>
      <c r="F96" s="1470">
        <f>+D96/C96/1000</f>
        <v>2.5339901477832508E-2</v>
      </c>
      <c r="I96" s="45">
        <v>2017</v>
      </c>
      <c r="J96" s="910">
        <v>28</v>
      </c>
      <c r="K96" s="1250">
        <f>(+J96-J95)/J95</f>
        <v>0.37931034482758613</v>
      </c>
      <c r="L96" s="50" t="s">
        <v>1410</v>
      </c>
      <c r="M96" s="63"/>
      <c r="N96" s="63"/>
      <c r="O96" s="63"/>
      <c r="P96" s="63"/>
      <c r="Q96" s="913"/>
      <c r="R96" s="340" t="e">
        <f>+R95*(1+#REF!)</f>
        <v>#REF!</v>
      </c>
    </row>
    <row r="97" spans="2:18">
      <c r="B97" s="45">
        <v>2017</v>
      </c>
      <c r="C97" s="784">
        <v>28</v>
      </c>
      <c r="D97" s="1592">
        <v>514.6</v>
      </c>
      <c r="E97" s="787">
        <f t="shared" ref="E97:E102" si="43">+(D97-D96)/D96</f>
        <v>3.8880248833601377E-4</v>
      </c>
      <c r="F97" s="1470">
        <f t="shared" ref="F97:F103" si="44">+D97/((C96+C97)/2)/1000</f>
        <v>2.1308488612836442E-2</v>
      </c>
      <c r="I97" s="45">
        <v>2018</v>
      </c>
      <c r="J97" s="910">
        <v>26.7</v>
      </c>
      <c r="K97" s="1250">
        <f t="shared" ref="K97:K102" si="45">(+J97-J96)/J96</f>
        <v>-4.6428571428571451E-2</v>
      </c>
      <c r="L97" s="50" t="s">
        <v>1411</v>
      </c>
      <c r="M97" s="63"/>
      <c r="N97" s="63"/>
      <c r="O97" s="63"/>
      <c r="P97" s="63"/>
      <c r="Q97" s="913"/>
      <c r="R97" s="340" t="e">
        <f>+R96*(1+#REF!)</f>
        <v>#REF!</v>
      </c>
    </row>
    <row r="98" spans="2:18">
      <c r="B98" s="45">
        <v>2018</v>
      </c>
      <c r="C98" s="784">
        <v>26.7</v>
      </c>
      <c r="D98" s="1592">
        <v>743.9</v>
      </c>
      <c r="E98" s="787">
        <f t="shared" si="43"/>
        <v>0.4455888068402642</v>
      </c>
      <c r="F98" s="1470">
        <f t="shared" si="44"/>
        <v>2.7199268738574037E-2</v>
      </c>
      <c r="I98" s="45">
        <v>2019</v>
      </c>
      <c r="J98" s="910">
        <v>26.3</v>
      </c>
      <c r="K98" s="1250">
        <f t="shared" si="45"/>
        <v>-1.4981273408239647E-2</v>
      </c>
      <c r="L98" s="50" t="s">
        <v>1220</v>
      </c>
      <c r="M98" s="63"/>
      <c r="N98" s="63"/>
      <c r="O98" s="332"/>
      <c r="P98" s="63"/>
      <c r="Q98" s="913"/>
      <c r="R98" s="340" t="e">
        <f>+R97*(1+#REF!)</f>
        <v>#REF!</v>
      </c>
    </row>
    <row r="99" spans="2:18">
      <c r="B99" s="45">
        <v>2019</v>
      </c>
      <c r="C99" s="784">
        <v>26.3</v>
      </c>
      <c r="D99" s="1592">
        <v>826.3</v>
      </c>
      <c r="E99" s="787">
        <f t="shared" si="43"/>
        <v>0.11076757628713534</v>
      </c>
      <c r="F99" s="1470">
        <f t="shared" si="44"/>
        <v>3.1181132075471699E-2</v>
      </c>
      <c r="I99" s="45">
        <v>2020</v>
      </c>
      <c r="J99" s="910">
        <v>29.8</v>
      </c>
      <c r="K99" s="1250">
        <f t="shared" si="45"/>
        <v>0.13307984790874525</v>
      </c>
      <c r="L99" s="50" t="s">
        <v>1412</v>
      </c>
      <c r="M99" s="63"/>
      <c r="N99" s="63"/>
      <c r="O99" s="332"/>
      <c r="P99" s="63"/>
      <c r="Q99" s="913"/>
      <c r="R99" s="340" t="e">
        <f>+R98*(1+#REF!)</f>
        <v>#REF!</v>
      </c>
    </row>
    <row r="100" spans="2:18">
      <c r="B100" s="45">
        <v>2020</v>
      </c>
      <c r="C100" s="784">
        <v>29.8</v>
      </c>
      <c r="D100" s="1592">
        <v>716.5</v>
      </c>
      <c r="E100" s="787">
        <f t="shared" si="43"/>
        <v>-0.1328815200290451</v>
      </c>
      <c r="F100" s="1470">
        <f t="shared" si="44"/>
        <v>2.5543672014260249E-2</v>
      </c>
      <c r="I100" s="45">
        <v>2021</v>
      </c>
      <c r="J100" s="910">
        <v>36.799999999999997</v>
      </c>
      <c r="K100" s="1250">
        <f t="shared" si="45"/>
        <v>0.23489932885906029</v>
      </c>
      <c r="L100" s="50" t="s">
        <v>1413</v>
      </c>
      <c r="M100" s="63"/>
      <c r="N100" s="63"/>
      <c r="O100" s="332"/>
      <c r="P100" s="63"/>
      <c r="Q100" s="913"/>
      <c r="R100" s="340" t="e">
        <f>+R99*(1+#REF!)</f>
        <v>#REF!</v>
      </c>
    </row>
    <row r="101" spans="2:18">
      <c r="B101" s="45">
        <v>2021</v>
      </c>
      <c r="C101" s="784">
        <v>36.799999999999997</v>
      </c>
      <c r="D101" s="1592">
        <v>568.4</v>
      </c>
      <c r="E101" s="787">
        <f t="shared" si="43"/>
        <v>-0.2066992323796232</v>
      </c>
      <c r="F101" s="1470">
        <f t="shared" si="44"/>
        <v>1.7069069069069069E-2</v>
      </c>
      <c r="I101" s="45">
        <v>2022</v>
      </c>
      <c r="J101" s="910">
        <v>38.9</v>
      </c>
      <c r="K101" s="1250">
        <f t="shared" si="45"/>
        <v>5.7065217391304393E-2</v>
      </c>
      <c r="L101" s="50" t="s">
        <v>1223</v>
      </c>
      <c r="M101" s="63"/>
      <c r="N101" s="63"/>
      <c r="O101" s="332"/>
      <c r="P101" s="63"/>
      <c r="Q101" s="913"/>
      <c r="R101" s="340" t="e">
        <f>+R100*(1+#REF!)</f>
        <v>#REF!</v>
      </c>
    </row>
    <row r="102" spans="2:18">
      <c r="B102" s="159">
        <v>2022</v>
      </c>
      <c r="C102" s="1242">
        <v>38.9</v>
      </c>
      <c r="D102" s="1593">
        <v>873.5</v>
      </c>
      <c r="E102" s="1595">
        <f t="shared" si="43"/>
        <v>0.53676988036593953</v>
      </c>
      <c r="F102" s="1470">
        <f t="shared" si="44"/>
        <v>2.3077939233817707E-2</v>
      </c>
      <c r="I102" s="45">
        <v>2023</v>
      </c>
      <c r="J102" s="910">
        <v>45.3</v>
      </c>
      <c r="K102" s="1250">
        <f t="shared" si="45"/>
        <v>0.16452442159383029</v>
      </c>
      <c r="L102" s="50" t="s">
        <v>1407</v>
      </c>
      <c r="M102" s="63"/>
      <c r="N102" s="63"/>
      <c r="O102" s="332"/>
      <c r="P102" s="63"/>
      <c r="Q102" s="913"/>
      <c r="R102" s="53"/>
    </row>
    <row r="103" spans="2:18">
      <c r="B103" s="159">
        <v>2023</v>
      </c>
      <c r="C103" s="1468">
        <v>45</v>
      </c>
      <c r="D103" s="1475">
        <v>1841</v>
      </c>
      <c r="E103" s="1595">
        <f t="shared" ref="E103" si="46">+(D103-D102)/D102</f>
        <v>1.1076130509444762</v>
      </c>
      <c r="F103" s="1471">
        <f t="shared" si="44"/>
        <v>4.3885578069129912E-2</v>
      </c>
      <c r="I103" s="45">
        <v>2024</v>
      </c>
      <c r="J103" s="1601">
        <v>46.5</v>
      </c>
      <c r="K103" s="1602">
        <f t="shared" ref="K103" si="47">(+J103-J102)/J102</f>
        <v>2.6490066225165629E-2</v>
      </c>
      <c r="L103" s="50" t="s">
        <v>1886</v>
      </c>
      <c r="M103" s="63"/>
      <c r="N103" s="63"/>
      <c r="O103" s="332"/>
      <c r="P103" s="63"/>
      <c r="Q103" s="913"/>
      <c r="R103" s="53"/>
    </row>
    <row r="104" spans="2:18">
      <c r="B104" s="45">
        <v>2024</v>
      </c>
      <c r="C104" s="601">
        <v>46.5</v>
      </c>
      <c r="D104" s="769">
        <v>2341</v>
      </c>
      <c r="E104" s="787">
        <f t="shared" ref="E104" si="48">+(D104-D103)/D103</f>
        <v>0.27159152634437805</v>
      </c>
      <c r="F104" s="1249">
        <f t="shared" ref="F104" si="49">+D104/((C103+C104)/2)/1000</f>
        <v>5.1169398907103827E-2</v>
      </c>
      <c r="J104" s="875">
        <f>+J103-J95</f>
        <v>26.2</v>
      </c>
      <c r="K104" s="1596">
        <f>+J104/J95</f>
        <v>1.2906403940886699</v>
      </c>
      <c r="L104" s="1366" t="s">
        <v>1889</v>
      </c>
      <c r="M104" s="797"/>
    </row>
    <row r="105" spans="2:18">
      <c r="B105" s="2125" t="s">
        <v>1887</v>
      </c>
      <c r="C105" s="2126"/>
      <c r="D105" s="1598">
        <f>+D104-D96</f>
        <v>1826.6</v>
      </c>
      <c r="E105" s="1596">
        <f>+D105/D96</f>
        <v>3.5509331259720063</v>
      </c>
      <c r="K105" s="830">
        <v>0.109</v>
      </c>
      <c r="L105" s="1366" t="s">
        <v>1888</v>
      </c>
      <c r="M105" s="797"/>
    </row>
    <row r="106" spans="2:18">
      <c r="B106" s="2127" t="s">
        <v>1888</v>
      </c>
      <c r="C106" s="2128"/>
      <c r="D106" s="797"/>
      <c r="E106" s="1599">
        <v>0.20899999999999999</v>
      </c>
    </row>
    <row r="107" spans="2:18">
      <c r="I107" s="746" t="s">
        <v>1060</v>
      </c>
      <c r="J107" s="910">
        <v>47</v>
      </c>
      <c r="K107" s="850">
        <f>(+J107-J102)/J102</f>
        <v>3.7527593818984614E-2</v>
      </c>
      <c r="L107" s="914" t="s">
        <v>1222</v>
      </c>
      <c r="M107" s="775"/>
      <c r="N107" s="775"/>
      <c r="O107" s="915"/>
      <c r="P107" s="775"/>
      <c r="Q107" s="916"/>
    </row>
    <row r="108" spans="2:18">
      <c r="B108" s="11" t="s">
        <v>1409</v>
      </c>
      <c r="E108" s="131"/>
      <c r="I108" s="742" t="s">
        <v>1061</v>
      </c>
      <c r="J108" s="911">
        <v>49</v>
      </c>
      <c r="K108" s="912">
        <f>(+J108-J107)/J107</f>
        <v>4.2553191489361701E-2</v>
      </c>
      <c r="L108" s="802" t="s">
        <v>1408</v>
      </c>
      <c r="M108" s="917"/>
      <c r="N108" s="917"/>
      <c r="O108" s="918"/>
      <c r="P108" s="917"/>
      <c r="Q108" s="919"/>
    </row>
    <row r="109" spans="2:18">
      <c r="B109" s="907" t="s">
        <v>1228</v>
      </c>
      <c r="C109" s="63"/>
      <c r="D109" s="318">
        <f>+D103-D96</f>
        <v>1326.6</v>
      </c>
      <c r="E109" s="908">
        <f>+D109/D96</f>
        <v>2.5789269051321928</v>
      </c>
      <c r="P109" s="42"/>
    </row>
    <row r="110" spans="2:18">
      <c r="B110" s="907" t="s">
        <v>1251</v>
      </c>
      <c r="C110" s="63"/>
      <c r="D110" s="63"/>
      <c r="E110" s="909">
        <v>0.2</v>
      </c>
      <c r="I110" s="11" t="s">
        <v>1409</v>
      </c>
      <c r="L110" s="131"/>
    </row>
    <row r="111" spans="2:18">
      <c r="I111" s="907" t="s">
        <v>19</v>
      </c>
      <c r="J111" s="63"/>
      <c r="K111" s="647">
        <f>+J102-J95</f>
        <v>24.999999999999996</v>
      </c>
      <c r="L111" s="908">
        <f>+K111/J95</f>
        <v>1.2315270935960589</v>
      </c>
    </row>
    <row r="112" spans="2:18">
      <c r="B112" s="11" t="s">
        <v>1238</v>
      </c>
      <c r="F112" s="492">
        <f>+F113/F96</f>
        <v>0.73187642846682999</v>
      </c>
      <c r="I112" s="907" t="s">
        <v>1251</v>
      </c>
      <c r="J112" s="63"/>
      <c r="K112" s="63"/>
      <c r="L112" s="909">
        <v>0.12</v>
      </c>
    </row>
    <row r="113" spans="2:18">
      <c r="B113" s="50" t="s">
        <v>1227</v>
      </c>
      <c r="C113" s="63"/>
      <c r="D113" s="28"/>
      <c r="E113" s="902">
        <v>2.4E-2</v>
      </c>
      <c r="F113" s="756">
        <f>+F103-F96</f>
        <v>1.8545676591297404E-2</v>
      </c>
    </row>
    <row r="117" spans="2:18">
      <c r="C117" s="499"/>
      <c r="E117" s="499"/>
      <c r="K117" s="501"/>
      <c r="L117" s="501"/>
      <c r="M117" s="499"/>
      <c r="N117" s="501"/>
      <c r="O117" s="501"/>
      <c r="P117" s="501"/>
      <c r="Q117" s="501"/>
      <c r="R117" s="501"/>
    </row>
    <row r="118" spans="2:18">
      <c r="C118" s="501"/>
      <c r="E118" s="501"/>
      <c r="H118" s="505" t="s">
        <v>158</v>
      </c>
      <c r="K118" s="501"/>
      <c r="L118" s="501"/>
      <c r="M118" s="501"/>
      <c r="N118" s="499"/>
      <c r="O118" s="499"/>
      <c r="P118" s="499"/>
      <c r="Q118" s="499"/>
      <c r="R118" s="499"/>
    </row>
    <row r="119" spans="2:18">
      <c r="B119" s="11" t="s">
        <v>1265</v>
      </c>
      <c r="C119" s="501"/>
      <c r="E119" s="501"/>
      <c r="H119" s="973" t="s">
        <v>159</v>
      </c>
      <c r="K119" s="501"/>
      <c r="L119" s="501"/>
      <c r="N119" s="501"/>
      <c r="Q119" s="501"/>
      <c r="R119" s="501"/>
    </row>
    <row r="120" spans="2:18">
      <c r="B120" s="282" t="s">
        <v>1266</v>
      </c>
      <c r="C120" s="501"/>
      <c r="D120" s="1038" t="s">
        <v>1263</v>
      </c>
      <c r="E120" s="1039"/>
      <c r="F120" s="1040"/>
      <c r="H120" s="504" t="s">
        <v>1217</v>
      </c>
      <c r="K120" s="501"/>
      <c r="L120" s="501"/>
      <c r="M120" s="501"/>
      <c r="Q120" s="501"/>
      <c r="R120" s="501"/>
    </row>
    <row r="121" spans="2:18">
      <c r="C121" s="491" t="s">
        <v>1203</v>
      </c>
      <c r="D121" s="1025" t="s">
        <v>1217</v>
      </c>
      <c r="E121" s="1025" t="s">
        <v>1262</v>
      </c>
      <c r="F121" s="1025" t="s">
        <v>168</v>
      </c>
      <c r="H121" s="90">
        <v>23.1</v>
      </c>
      <c r="J121" s="501"/>
      <c r="K121" s="501"/>
      <c r="L121" s="898"/>
      <c r="M121" s="501"/>
      <c r="Q121" s="501"/>
      <c r="R121" s="501"/>
    </row>
    <row r="122" spans="2:18">
      <c r="B122" s="45">
        <v>2016</v>
      </c>
      <c r="C122" s="1020">
        <v>20.3</v>
      </c>
      <c r="D122" s="1026">
        <v>514.4</v>
      </c>
      <c r="E122" s="1026">
        <f t="shared" ref="E122:E130" si="50">+D122/H121</f>
        <v>22.268398268398265</v>
      </c>
      <c r="F122" s="1029">
        <f t="shared" ref="F122:F130" si="51">+D122/C122/1000</f>
        <v>2.5339901477832508E-2</v>
      </c>
      <c r="H122" s="45">
        <v>27.8</v>
      </c>
      <c r="J122" s="1116"/>
      <c r="K122" s="53"/>
      <c r="L122" s="974"/>
      <c r="M122" s="53"/>
      <c r="Q122" s="53"/>
      <c r="R122" s="53"/>
    </row>
    <row r="123" spans="2:18">
      <c r="B123" s="45">
        <v>2017</v>
      </c>
      <c r="C123" s="1021">
        <v>28</v>
      </c>
      <c r="D123" s="405">
        <v>514.6</v>
      </c>
      <c r="E123" s="405">
        <f t="shared" si="50"/>
        <v>18.510791366906474</v>
      </c>
      <c r="F123" s="1027">
        <f t="shared" si="51"/>
        <v>1.8378571428571432E-2</v>
      </c>
      <c r="H123" s="45">
        <v>27.2</v>
      </c>
      <c r="J123" s="1116"/>
      <c r="K123" s="53"/>
      <c r="L123" s="974"/>
      <c r="M123" s="53"/>
      <c r="Q123" s="53"/>
      <c r="R123" s="53"/>
    </row>
    <row r="124" spans="2:18">
      <c r="B124" s="45">
        <v>2018</v>
      </c>
      <c r="C124" s="1021">
        <v>26.7</v>
      </c>
      <c r="D124" s="405">
        <v>743.9</v>
      </c>
      <c r="E124" s="405">
        <f t="shared" si="50"/>
        <v>27.349264705882351</v>
      </c>
      <c r="F124" s="1027">
        <f t="shared" si="51"/>
        <v>2.7861423220973784E-2</v>
      </c>
      <c r="H124" s="45">
        <v>26.8</v>
      </c>
      <c r="J124" s="1116"/>
      <c r="K124" s="53"/>
      <c r="L124" s="974"/>
      <c r="M124" s="53"/>
      <c r="Q124" s="53"/>
      <c r="R124" s="53"/>
    </row>
    <row r="125" spans="2:18">
      <c r="B125" s="45">
        <v>2019</v>
      </c>
      <c r="C125" s="1021">
        <v>26.4</v>
      </c>
      <c r="D125" s="405">
        <v>826.3</v>
      </c>
      <c r="E125" s="405">
        <f t="shared" si="50"/>
        <v>30.832089552238802</v>
      </c>
      <c r="F125" s="1028">
        <f t="shared" si="51"/>
        <v>3.1299242424242424E-2</v>
      </c>
      <c r="H125" s="45">
        <v>26.2</v>
      </c>
      <c r="J125" s="1116"/>
      <c r="K125" s="53"/>
      <c r="L125" s="974"/>
      <c r="M125" s="53"/>
      <c r="Q125" s="53"/>
      <c r="R125" s="53"/>
    </row>
    <row r="126" spans="2:18">
      <c r="B126" s="45">
        <v>2020</v>
      </c>
      <c r="C126" s="1021">
        <v>29.8</v>
      </c>
      <c r="D126" s="405">
        <v>716.5</v>
      </c>
      <c r="E126" s="405">
        <f t="shared" si="50"/>
        <v>27.347328244274809</v>
      </c>
      <c r="F126" s="1028">
        <f t="shared" si="51"/>
        <v>2.4043624161073827E-2</v>
      </c>
      <c r="H126" s="44">
        <v>23.9</v>
      </c>
      <c r="J126" s="1116"/>
      <c r="K126" s="53"/>
      <c r="L126" s="974"/>
      <c r="M126" s="53"/>
      <c r="Q126" s="53"/>
      <c r="R126" s="53"/>
    </row>
    <row r="127" spans="2:18">
      <c r="B127" s="45">
        <v>2021</v>
      </c>
      <c r="C127" s="1021">
        <v>36.799999999999997</v>
      </c>
      <c r="D127" s="405">
        <v>568.4</v>
      </c>
      <c r="E127" s="405">
        <f t="shared" si="50"/>
        <v>23.782426778242677</v>
      </c>
      <c r="F127" s="1028">
        <f t="shared" si="51"/>
        <v>1.5445652173913044E-2</v>
      </c>
      <c r="H127" s="44">
        <v>23.3</v>
      </c>
      <c r="J127" s="1116"/>
      <c r="K127" s="53"/>
      <c r="L127" s="974"/>
      <c r="M127" s="53"/>
      <c r="Q127" s="53"/>
      <c r="R127" s="53"/>
    </row>
    <row r="128" spans="2:18">
      <c r="B128" s="45">
        <v>2022</v>
      </c>
      <c r="C128" s="1021">
        <v>38.9</v>
      </c>
      <c r="D128" s="405">
        <v>873.5</v>
      </c>
      <c r="E128" s="405">
        <f t="shared" si="50"/>
        <v>37.489270386266092</v>
      </c>
      <c r="F128" s="1028">
        <f t="shared" si="51"/>
        <v>2.245501285347044E-2</v>
      </c>
      <c r="H128" s="585">
        <v>22.8</v>
      </c>
      <c r="J128" s="1116"/>
      <c r="K128" s="53"/>
      <c r="L128" s="974"/>
      <c r="M128" s="53"/>
      <c r="Q128" s="53"/>
      <c r="R128" s="53"/>
    </row>
    <row r="129" spans="2:18">
      <c r="B129" s="560" t="s">
        <v>815</v>
      </c>
      <c r="C129" s="1022">
        <v>42</v>
      </c>
      <c r="D129" s="562">
        <v>1826</v>
      </c>
      <c r="E129" s="584">
        <f t="shared" si="50"/>
        <v>80.087719298245617</v>
      </c>
      <c r="F129" s="847">
        <f t="shared" si="51"/>
        <v>4.3476190476190474E-2</v>
      </c>
      <c r="H129" s="749">
        <v>22.3</v>
      </c>
      <c r="J129" s="1116"/>
      <c r="K129" s="53"/>
      <c r="L129" s="974"/>
      <c r="M129" s="53"/>
      <c r="Q129" s="53"/>
      <c r="R129" s="53"/>
    </row>
    <row r="130" spans="2:18">
      <c r="B130" s="746" t="s">
        <v>1060</v>
      </c>
      <c r="C130" s="1023">
        <v>47</v>
      </c>
      <c r="D130" s="719">
        <v>2140</v>
      </c>
      <c r="E130" s="748">
        <f t="shared" si="50"/>
        <v>95.964125560538108</v>
      </c>
      <c r="F130" s="850">
        <f t="shared" si="51"/>
        <v>4.553191489361702E-2</v>
      </c>
      <c r="H130" s="745">
        <v>21.8</v>
      </c>
      <c r="J130" s="1116"/>
      <c r="K130" s="53"/>
      <c r="L130" s="974"/>
      <c r="M130" s="53"/>
      <c r="Q130" s="53"/>
      <c r="R130" s="53"/>
    </row>
    <row r="131" spans="2:18">
      <c r="J131" s="1116"/>
      <c r="K131" s="53"/>
      <c r="L131" s="974"/>
      <c r="M131" s="53"/>
      <c r="Q131" s="53"/>
      <c r="R131" s="53"/>
    </row>
    <row r="132" spans="2:18">
      <c r="B132" s="50" t="s">
        <v>1267</v>
      </c>
      <c r="C132" s="63"/>
      <c r="D132" s="63"/>
      <c r="E132" s="63"/>
      <c r="F132" s="28"/>
      <c r="I132" s="501"/>
      <c r="M132" s="501"/>
      <c r="O132" s="501"/>
      <c r="Q132" s="501"/>
    </row>
    <row r="134" spans="2:18">
      <c r="B134" s="742" t="s">
        <v>1061</v>
      </c>
      <c r="C134" s="1024">
        <v>50</v>
      </c>
      <c r="D134" s="740">
        <v>2050</v>
      </c>
      <c r="E134" s="744">
        <f>+D134/H130</f>
        <v>94.036697247706414</v>
      </c>
      <c r="F134" s="912">
        <f>+D134/C134/1000</f>
        <v>4.1000000000000002E-2</v>
      </c>
    </row>
    <row r="138" spans="2:18">
      <c r="B138" s="11" t="s">
        <v>1087</v>
      </c>
    </row>
    <row r="139" spans="2:18">
      <c r="B139" s="791" t="s">
        <v>1332</v>
      </c>
      <c r="C139" s="1"/>
      <c r="E139" s="53"/>
      <c r="F139" s="359"/>
      <c r="G139" s="53"/>
      <c r="I139" s="964" t="s">
        <v>19</v>
      </c>
    </row>
    <row r="140" spans="2:18">
      <c r="C140" s="2071" t="s">
        <v>1263</v>
      </c>
      <c r="D140" s="2077"/>
      <c r="E140" s="2077"/>
      <c r="F140" s="2077"/>
      <c r="G140" s="2072"/>
      <c r="H140" s="151" t="s">
        <v>1083</v>
      </c>
      <c r="I140" s="965" t="s">
        <v>823</v>
      </c>
    </row>
    <row r="141" spans="2:18">
      <c r="C141" s="40" t="s">
        <v>761</v>
      </c>
      <c r="D141" s="40" t="s">
        <v>778</v>
      </c>
      <c r="E141" s="40" t="s">
        <v>779</v>
      </c>
      <c r="F141" s="40" t="s">
        <v>148</v>
      </c>
      <c r="G141" s="40" t="s">
        <v>780</v>
      </c>
      <c r="H141" s="71" t="s">
        <v>16</v>
      </c>
      <c r="I141" s="965" t="s">
        <v>824</v>
      </c>
      <c r="J141" s="212" t="s">
        <v>1311</v>
      </c>
    </row>
    <row r="142" spans="2:18">
      <c r="C142" s="41" t="s">
        <v>1217</v>
      </c>
      <c r="D142" s="41" t="s">
        <v>1217</v>
      </c>
      <c r="E142" s="41" t="s">
        <v>1217</v>
      </c>
      <c r="F142" s="41" t="s">
        <v>1217</v>
      </c>
      <c r="G142" s="41" t="s">
        <v>1217</v>
      </c>
      <c r="H142" s="101" t="s">
        <v>39</v>
      </c>
      <c r="I142" s="679" t="s">
        <v>1203</v>
      </c>
      <c r="J142" s="114" t="s">
        <v>168</v>
      </c>
    </row>
    <row r="143" spans="2:18">
      <c r="B143" s="45">
        <v>2021</v>
      </c>
      <c r="C143" s="324">
        <v>153</v>
      </c>
      <c r="D143" s="324">
        <v>148.19999999999999</v>
      </c>
      <c r="E143" s="324">
        <v>137</v>
      </c>
      <c r="F143" s="324">
        <f>+G143-E143-D143-C143</f>
        <v>130.19999999999999</v>
      </c>
      <c r="G143" s="551">
        <v>568.4</v>
      </c>
      <c r="H143" s="785">
        <f>+(G143-G154)/G154</f>
        <v>-0.2066992323796232</v>
      </c>
      <c r="I143" s="967">
        <v>36.799999999999997</v>
      </c>
      <c r="J143" s="781">
        <f>+G143/I143/1000</f>
        <v>1.5445652173913044E-2</v>
      </c>
    </row>
    <row r="144" spans="2:18">
      <c r="B144" s="45">
        <v>2022</v>
      </c>
      <c r="C144" s="324">
        <v>153.4</v>
      </c>
      <c r="D144" s="324">
        <v>176.4</v>
      </c>
      <c r="E144" s="324">
        <v>229.8</v>
      </c>
      <c r="F144" s="324">
        <v>314</v>
      </c>
      <c r="G144" s="551">
        <v>873.5</v>
      </c>
      <c r="H144" s="785">
        <f>+(G144-G143)/G143</f>
        <v>0.53676988036593953</v>
      </c>
      <c r="I144" s="967">
        <v>38.9</v>
      </c>
      <c r="J144" s="781">
        <f>+G144/I144/1000</f>
        <v>2.245501285347044E-2</v>
      </c>
    </row>
    <row r="145" spans="2:10">
      <c r="B145" s="560" t="s">
        <v>815</v>
      </c>
      <c r="C145" s="324">
        <v>362</v>
      </c>
      <c r="D145" s="324">
        <v>443</v>
      </c>
      <c r="E145" s="324">
        <v>492</v>
      </c>
      <c r="F145" s="705">
        <v>520</v>
      </c>
      <c r="G145" s="604">
        <f>SUM(C145:F145)</f>
        <v>1817</v>
      </c>
      <c r="H145" s="786">
        <f>+(G145-G144)/G144</f>
        <v>1.0801373783629078</v>
      </c>
      <c r="I145" s="958">
        <v>42</v>
      </c>
      <c r="J145" s="959">
        <f>+G145/I145/1000</f>
        <v>4.3261904761904758E-2</v>
      </c>
    </row>
    <row r="146" spans="2:10">
      <c r="B146" s="746" t="s">
        <v>1060</v>
      </c>
      <c r="C146" s="769">
        <v>540</v>
      </c>
      <c r="D146" s="769">
        <v>535</v>
      </c>
      <c r="E146" s="769">
        <v>530</v>
      </c>
      <c r="F146" s="769">
        <v>520</v>
      </c>
      <c r="G146" s="782">
        <f>SUM(C146:F146)</f>
        <v>2125</v>
      </c>
      <c r="H146" s="787">
        <f>+(G146-G145)/G145</f>
        <v>0.16951018161805173</v>
      </c>
      <c r="I146" s="960">
        <v>47</v>
      </c>
      <c r="J146" s="961">
        <f>+G146/I146/1000</f>
        <v>4.5212765957446804E-2</v>
      </c>
    </row>
    <row r="147" spans="2:10">
      <c r="B147" s="742" t="s">
        <v>1061</v>
      </c>
      <c r="C147" s="770">
        <v>515</v>
      </c>
      <c r="D147" s="770">
        <v>515</v>
      </c>
      <c r="E147" s="770">
        <v>510</v>
      </c>
      <c r="F147" s="770">
        <v>510</v>
      </c>
      <c r="G147" s="783">
        <f>SUM(C147:F147)</f>
        <v>2050</v>
      </c>
      <c r="H147" s="788">
        <f>+(G147-G146)/G146</f>
        <v>-3.5294117647058823E-2</v>
      </c>
      <c r="I147" s="962">
        <v>49</v>
      </c>
      <c r="J147" s="963">
        <f>+G147/I147/1000</f>
        <v>4.1836734693877553E-2</v>
      </c>
    </row>
    <row r="150" spans="2:10">
      <c r="B150" s="45">
        <v>2016</v>
      </c>
      <c r="C150" s="324">
        <v>139.30000000000001</v>
      </c>
      <c r="D150" s="324">
        <v>153.6</v>
      </c>
      <c r="E150" s="324">
        <v>97.2</v>
      </c>
      <c r="F150" s="324">
        <f>+G150-E150-D150-C150</f>
        <v>124.30000000000001</v>
      </c>
      <c r="G150" s="551">
        <v>514.4</v>
      </c>
      <c r="H150" s="785" t="s">
        <v>40</v>
      </c>
      <c r="I150" s="966">
        <v>20.3</v>
      </c>
      <c r="J150" s="906">
        <f>+G150/I150/1000</f>
        <v>2.5339901477832508E-2</v>
      </c>
    </row>
    <row r="151" spans="2:10">
      <c r="B151" s="45">
        <v>2017</v>
      </c>
      <c r="C151" s="324">
        <v>113.6</v>
      </c>
      <c r="D151" s="324">
        <v>90.6</v>
      </c>
      <c r="E151" s="324">
        <v>147.19999999999999</v>
      </c>
      <c r="F151" s="324">
        <f>+G151-E151-D151-C151</f>
        <v>163.20000000000007</v>
      </c>
      <c r="G151" s="551">
        <v>514.6</v>
      </c>
      <c r="H151" s="785">
        <f>+(G151-G150)/G150</f>
        <v>3.8880248833601377E-4</v>
      </c>
      <c r="I151" s="967">
        <v>28</v>
      </c>
      <c r="J151" s="906">
        <f>+G151/I151/1000</f>
        <v>1.8378571428571432E-2</v>
      </c>
    </row>
    <row r="152" spans="2:10">
      <c r="B152" s="45">
        <v>2018</v>
      </c>
      <c r="C152" s="324">
        <v>201.1</v>
      </c>
      <c r="D152" s="324">
        <v>169.2</v>
      </c>
      <c r="E152" s="324">
        <v>182.8</v>
      </c>
      <c r="F152" s="324">
        <f>+G152-E152-D152-C152</f>
        <v>190.79999999999993</v>
      </c>
      <c r="G152" s="551">
        <v>743.9</v>
      </c>
      <c r="H152" s="785">
        <f>+(G152-G151)/G151</f>
        <v>0.4455888068402642</v>
      </c>
      <c r="I152" s="967">
        <v>26.7</v>
      </c>
      <c r="J152" s="599">
        <f>+G152/I152/1000</f>
        <v>2.7861423220973784E-2</v>
      </c>
    </row>
    <row r="153" spans="2:10">
      <c r="B153" s="45">
        <v>2019</v>
      </c>
      <c r="C153" s="324">
        <v>209.5</v>
      </c>
      <c r="D153" s="324">
        <v>204.6</v>
      </c>
      <c r="E153" s="324">
        <v>206.9</v>
      </c>
      <c r="F153" s="324">
        <f>+G153-E153-D153-C153</f>
        <v>205.29999999999995</v>
      </c>
      <c r="G153" s="551">
        <v>826.3</v>
      </c>
      <c r="H153" s="785">
        <f>+(G153-G152)/G152</f>
        <v>0.11076757628713534</v>
      </c>
      <c r="I153" s="967">
        <v>26.3</v>
      </c>
      <c r="J153" s="599">
        <f>+G153/I153/1000</f>
        <v>3.1418250950570339E-2</v>
      </c>
    </row>
    <row r="154" spans="2:10">
      <c r="B154" s="45">
        <v>2020</v>
      </c>
      <c r="C154" s="324">
        <v>206.7</v>
      </c>
      <c r="D154" s="324">
        <v>192.2</v>
      </c>
      <c r="E154" s="324">
        <v>163.9</v>
      </c>
      <c r="F154" s="324">
        <f>+G154-E154-D154-C154</f>
        <v>153.70000000000005</v>
      </c>
      <c r="G154" s="551">
        <v>716.5</v>
      </c>
      <c r="H154" s="785">
        <f>+(G154-G153)/G153</f>
        <v>-0.1328815200290451</v>
      </c>
      <c r="I154" s="967">
        <v>29.8</v>
      </c>
      <c r="J154" s="599">
        <f>+G154/I154/1000</f>
        <v>2.4043624161073827E-2</v>
      </c>
    </row>
    <row r="155" spans="2:10">
      <c r="C155" s="1"/>
      <c r="E155" s="53"/>
      <c r="F155" s="359"/>
      <c r="G155" s="53"/>
    </row>
    <row r="156" spans="2:10">
      <c r="C156" s="1"/>
      <c r="E156" s="53"/>
      <c r="F156" s="359"/>
      <c r="G156" s="53"/>
    </row>
    <row r="157" spans="2:10">
      <c r="B157" s="11" t="s">
        <v>1087</v>
      </c>
    </row>
    <row r="158" spans="2:10">
      <c r="C158" s="40" t="s">
        <v>761</v>
      </c>
      <c r="D158" s="40" t="s">
        <v>778</v>
      </c>
      <c r="E158" s="40" t="s">
        <v>779</v>
      </c>
      <c r="F158" s="40" t="s">
        <v>148</v>
      </c>
      <c r="G158" s="40" t="s">
        <v>780</v>
      </c>
    </row>
    <row r="159" spans="2:10">
      <c r="C159" s="41" t="s">
        <v>1217</v>
      </c>
      <c r="D159" s="41" t="s">
        <v>1217</v>
      </c>
      <c r="E159" s="41" t="s">
        <v>1217</v>
      </c>
      <c r="F159" s="41" t="s">
        <v>1217</v>
      </c>
      <c r="G159" s="41" t="s">
        <v>1217</v>
      </c>
    </row>
    <row r="160" spans="2:10">
      <c r="B160" s="45">
        <v>2021</v>
      </c>
      <c r="C160" s="324">
        <v>153</v>
      </c>
      <c r="D160" s="324">
        <v>148.19999999999999</v>
      </c>
      <c r="E160" s="324">
        <v>137</v>
      </c>
      <c r="F160" s="324">
        <f t="shared" ref="F160" si="52">+G160-E160-D160-C160</f>
        <v>130.19999999999999</v>
      </c>
      <c r="G160" s="884">
        <v>568.4</v>
      </c>
    </row>
    <row r="161" spans="2:7">
      <c r="B161" s="45">
        <v>2022</v>
      </c>
      <c r="C161" s="324">
        <v>153.4</v>
      </c>
      <c r="D161" s="324">
        <v>176.4</v>
      </c>
      <c r="E161" s="324">
        <v>229.8</v>
      </c>
      <c r="F161" s="324">
        <v>314</v>
      </c>
      <c r="G161" s="884">
        <v>873.5</v>
      </c>
    </row>
    <row r="162" spans="2:7">
      <c r="B162" s="1033" t="s">
        <v>1083</v>
      </c>
      <c r="C162" s="862">
        <f>+C161-C160</f>
        <v>0.40000000000000568</v>
      </c>
      <c r="D162" s="862">
        <f t="shared" ref="D162:G162" si="53">+D161-D160</f>
        <v>28.200000000000017</v>
      </c>
      <c r="E162" s="862">
        <f t="shared" si="53"/>
        <v>92.800000000000011</v>
      </c>
      <c r="F162" s="862">
        <f t="shared" si="53"/>
        <v>183.8</v>
      </c>
      <c r="G162" s="1034">
        <f t="shared" si="53"/>
        <v>305.10000000000002</v>
      </c>
    </row>
    <row r="163" spans="2:7">
      <c r="B163" s="1033" t="s">
        <v>16</v>
      </c>
      <c r="C163" s="1035">
        <f>+C162/C160</f>
        <v>2.6143790849673574E-3</v>
      </c>
      <c r="D163" s="1035">
        <f t="shared" ref="D163:G163" si="54">+D162/D160</f>
        <v>0.19028340080971673</v>
      </c>
      <c r="E163" s="1035">
        <f t="shared" si="54"/>
        <v>0.67737226277372276</v>
      </c>
      <c r="F163" s="1035">
        <f t="shared" si="54"/>
        <v>1.4116743471582183</v>
      </c>
      <c r="G163" s="1036">
        <f t="shared" si="54"/>
        <v>0.53676988036593953</v>
      </c>
    </row>
    <row r="167" spans="2:7">
      <c r="B167" s="11" t="s">
        <v>1087</v>
      </c>
    </row>
    <row r="168" spans="2:7">
      <c r="C168" s="40" t="s">
        <v>761</v>
      </c>
      <c r="D168" s="40" t="s">
        <v>778</v>
      </c>
      <c r="E168" s="40" t="s">
        <v>779</v>
      </c>
      <c r="F168" s="40" t="s">
        <v>148</v>
      </c>
      <c r="G168" s="40" t="s">
        <v>780</v>
      </c>
    </row>
    <row r="169" spans="2:7">
      <c r="C169" s="41" t="s">
        <v>1217</v>
      </c>
      <c r="D169" s="41" t="s">
        <v>1217</v>
      </c>
      <c r="E169" s="41" t="s">
        <v>1217</v>
      </c>
      <c r="F169" s="41" t="s">
        <v>1217</v>
      </c>
      <c r="G169" s="41" t="s">
        <v>1217</v>
      </c>
    </row>
    <row r="170" spans="2:7">
      <c r="B170" s="159">
        <v>2021</v>
      </c>
      <c r="C170" s="903">
        <v>153</v>
      </c>
      <c r="D170" s="903">
        <v>148.19999999999999</v>
      </c>
      <c r="E170" s="903">
        <v>137</v>
      </c>
      <c r="F170" s="903">
        <f t="shared" ref="F170" si="55">+G170-E170-D170-C170</f>
        <v>130.19999999999999</v>
      </c>
      <c r="G170" s="1015">
        <v>568.4</v>
      </c>
    </row>
    <row r="171" spans="2:7" ht="8" customHeight="1">
      <c r="B171" s="1041"/>
      <c r="C171" s="1042"/>
      <c r="D171" s="1042"/>
      <c r="E171" s="1042"/>
      <c r="F171" s="1042"/>
      <c r="G171" s="1043"/>
    </row>
    <row r="172" spans="2:7">
      <c r="B172" s="90">
        <v>2022</v>
      </c>
      <c r="C172" s="812">
        <v>153.4</v>
      </c>
      <c r="D172" s="812">
        <v>176.4</v>
      </c>
      <c r="E172" s="812">
        <v>229.8</v>
      </c>
      <c r="F172" s="812">
        <v>314</v>
      </c>
      <c r="G172" s="832">
        <v>873.5</v>
      </c>
    </row>
    <row r="173" spans="2:7">
      <c r="B173" s="560" t="s">
        <v>815</v>
      </c>
      <c r="C173" s="324">
        <v>362</v>
      </c>
      <c r="D173" s="324">
        <v>443</v>
      </c>
      <c r="E173" s="324">
        <v>492</v>
      </c>
      <c r="F173" s="705">
        <v>530</v>
      </c>
      <c r="G173" s="1037">
        <f>SUM(C173:F173)</f>
        <v>1827</v>
      </c>
    </row>
    <row r="174" spans="2:7">
      <c r="B174" s="1033" t="s">
        <v>1083</v>
      </c>
      <c r="C174" s="862">
        <f>+C173-C172</f>
        <v>208.6</v>
      </c>
      <c r="D174" s="862">
        <f>+D173-D172</f>
        <v>266.60000000000002</v>
      </c>
      <c r="E174" s="862">
        <f>+E173-E172</f>
        <v>262.2</v>
      </c>
      <c r="F174" s="862">
        <f>+F173-F172</f>
        <v>216</v>
      </c>
      <c r="G174" s="1034">
        <f>+G173-G172</f>
        <v>953.5</v>
      </c>
    </row>
    <row r="175" spans="2:7">
      <c r="B175" s="1033" t="s">
        <v>16</v>
      </c>
      <c r="C175" s="1035">
        <f>+C174/C172</f>
        <v>1.3598435462842242</v>
      </c>
      <c r="D175" s="1035">
        <f>+D174/D172</f>
        <v>1.5113378684807257</v>
      </c>
      <c r="E175" s="1035">
        <f>+E174/E172</f>
        <v>1.1409921671018275</v>
      </c>
      <c r="F175" s="1035">
        <f>+F174/F172</f>
        <v>0.68789808917197448</v>
      </c>
      <c r="G175" s="1036">
        <f>+G174/G172</f>
        <v>1.0915855752718946</v>
      </c>
    </row>
    <row r="178" spans="2:20">
      <c r="C178" s="11" t="s">
        <v>1282</v>
      </c>
    </row>
    <row r="179" spans="2:20">
      <c r="J179" s="1054" t="s">
        <v>1283</v>
      </c>
      <c r="K179" s="1052" t="s">
        <v>1278</v>
      </c>
      <c r="L179" s="2071" t="s">
        <v>43</v>
      </c>
      <c r="M179" s="2072"/>
    </row>
    <row r="180" spans="2:20">
      <c r="C180" s="1" t="s">
        <v>1284</v>
      </c>
      <c r="J180" s="1055" t="s">
        <v>823</v>
      </c>
      <c r="K180" s="1053" t="s">
        <v>816</v>
      </c>
      <c r="L180" s="2116" t="s">
        <v>1286</v>
      </c>
      <c r="M180" s="2117"/>
    </row>
    <row r="181" spans="2:20">
      <c r="J181" s="1056" t="s">
        <v>824</v>
      </c>
      <c r="K181" s="1058" t="s">
        <v>824</v>
      </c>
      <c r="L181" s="2118" t="s">
        <v>1285</v>
      </c>
      <c r="M181" s="2119"/>
      <c r="O181" s="11" t="s">
        <v>43</v>
      </c>
      <c r="Q181" s="40" t="s">
        <v>917</v>
      </c>
      <c r="R181" s="40" t="s">
        <v>1340</v>
      </c>
    </row>
    <row r="182" spans="2:20" ht="16" customHeight="1">
      <c r="C182" s="1030">
        <v>2021</v>
      </c>
      <c r="D182" s="1030" t="s">
        <v>883</v>
      </c>
      <c r="E182" s="1030" t="s">
        <v>884</v>
      </c>
      <c r="F182" s="1030" t="s">
        <v>1269</v>
      </c>
      <c r="G182" s="1030" t="s">
        <v>885</v>
      </c>
      <c r="H182" s="1030" t="s">
        <v>886</v>
      </c>
      <c r="I182" s="1046" t="s">
        <v>887</v>
      </c>
      <c r="J182" s="1057" t="s">
        <v>1203</v>
      </c>
      <c r="K182" s="1059" t="s">
        <v>1217</v>
      </c>
      <c r="L182" s="2123" t="s">
        <v>1287</v>
      </c>
      <c r="M182" s="2124"/>
      <c r="O182" s="11" t="s">
        <v>1285</v>
      </c>
      <c r="Q182" s="51" t="s">
        <v>1343</v>
      </c>
      <c r="R182" s="51" t="s">
        <v>1341</v>
      </c>
    </row>
    <row r="183" spans="2:20">
      <c r="B183" s="45" t="s">
        <v>148</v>
      </c>
      <c r="C183" s="1069">
        <v>45291</v>
      </c>
      <c r="D183" s="603">
        <v>5.9999999999999995E-4</v>
      </c>
      <c r="E183" s="603">
        <v>3.8999999999999998E-3</v>
      </c>
      <c r="F183" s="603">
        <v>7.3000000000000001E-3</v>
      </c>
      <c r="G183" s="603">
        <v>9.7000000000000003E-3</v>
      </c>
      <c r="H183" s="603">
        <v>1.26E-2</v>
      </c>
      <c r="I183" s="1047">
        <v>1.52E-2</v>
      </c>
      <c r="J183" s="1062">
        <v>37</v>
      </c>
      <c r="K183" s="1063">
        <v>130</v>
      </c>
      <c r="L183" t="s">
        <v>1279</v>
      </c>
      <c r="M183" s="60"/>
      <c r="O183" s="282"/>
      <c r="Q183" s="41" t="s">
        <v>1344</v>
      </c>
      <c r="R183" s="41" t="s">
        <v>1342</v>
      </c>
    </row>
    <row r="184" spans="2:20">
      <c r="B184" s="30"/>
      <c r="C184" s="1030">
        <v>2022</v>
      </c>
      <c r="D184" s="1030" t="s">
        <v>883</v>
      </c>
      <c r="E184" s="1030" t="s">
        <v>884</v>
      </c>
      <c r="F184" s="1030" t="s">
        <v>1269</v>
      </c>
      <c r="G184" s="1030" t="s">
        <v>885</v>
      </c>
      <c r="H184" s="1030" t="s">
        <v>886</v>
      </c>
      <c r="I184" s="1046" t="s">
        <v>887</v>
      </c>
      <c r="J184" s="1067"/>
      <c r="K184" s="1068"/>
      <c r="L184" s="775"/>
      <c r="M184" s="797"/>
      <c r="O184" s="907" t="s">
        <v>1338</v>
      </c>
      <c r="P184" s="28"/>
      <c r="Q184" s="46">
        <v>1.2</v>
      </c>
      <c r="R184" s="1124">
        <v>1.26E-2</v>
      </c>
      <c r="T184" s="53">
        <v>37</v>
      </c>
    </row>
    <row r="185" spans="2:20">
      <c r="B185" s="45" t="s">
        <v>761</v>
      </c>
      <c r="C185" s="1069">
        <v>44651</v>
      </c>
      <c r="D185" s="603">
        <v>1.6999999999999999E-3</v>
      </c>
      <c r="E185" s="603">
        <v>1.6299999999999999E-2</v>
      </c>
      <c r="F185" s="603">
        <v>2.2800000000000001E-2</v>
      </c>
      <c r="G185" s="603">
        <v>2.4500000000000001E-2</v>
      </c>
      <c r="H185" s="603">
        <v>2.4199999999999999E-2</v>
      </c>
      <c r="I185" s="1047">
        <v>2.3199999999999998E-2</v>
      </c>
      <c r="J185" s="333"/>
      <c r="K185" s="1064">
        <v>153</v>
      </c>
      <c r="L185" s="79" t="s">
        <v>1291</v>
      </c>
      <c r="M185" s="23"/>
      <c r="O185" s="907" t="s">
        <v>1185</v>
      </c>
      <c r="P185" s="28"/>
      <c r="Q185" s="46">
        <v>1.6</v>
      </c>
      <c r="R185" s="1124">
        <v>3.9899999999999998E-2</v>
      </c>
      <c r="T185" s="53">
        <v>39</v>
      </c>
    </row>
    <row r="186" spans="2:20">
      <c r="B186" s="45" t="s">
        <v>778</v>
      </c>
      <c r="C186" s="1069">
        <v>44742</v>
      </c>
      <c r="D186" s="603">
        <v>1.2800000000000001E-2</v>
      </c>
      <c r="E186" s="603">
        <v>2.8000000000000001E-2</v>
      </c>
      <c r="F186" s="603">
        <v>2.92E-2</v>
      </c>
      <c r="G186" s="603">
        <v>2.9899999999999999E-2</v>
      </c>
      <c r="H186" s="603">
        <v>3.0099999999999998E-2</v>
      </c>
      <c r="I186" s="1047">
        <v>2.98E-2</v>
      </c>
      <c r="J186" s="333"/>
      <c r="K186" s="1048">
        <v>176</v>
      </c>
      <c r="O186" s="907" t="s">
        <v>1339</v>
      </c>
      <c r="P186" s="28"/>
      <c r="Q186" s="46">
        <v>3.1</v>
      </c>
      <c r="R186" s="1124">
        <v>4.9500000000000002E-2</v>
      </c>
      <c r="T186" s="53">
        <v>41</v>
      </c>
    </row>
    <row r="187" spans="2:20">
      <c r="B187" s="45" t="s">
        <v>779</v>
      </c>
      <c r="C187" s="1069">
        <v>44834</v>
      </c>
      <c r="D187" s="603">
        <v>2.7900000000000001E-2</v>
      </c>
      <c r="E187" s="603">
        <v>4.0500000000000001E-2</v>
      </c>
      <c r="F187" s="603">
        <v>4.2200000000000001E-2</v>
      </c>
      <c r="G187" s="603">
        <v>4.2500000000000003E-2</v>
      </c>
      <c r="H187" s="603">
        <v>4.0599999999999997E-2</v>
      </c>
      <c r="I187" s="1047">
        <v>3.8300000000000001E-2</v>
      </c>
      <c r="J187" s="333"/>
      <c r="K187" s="1048">
        <v>230</v>
      </c>
      <c r="L187" s="50" t="s">
        <v>1292</v>
      </c>
      <c r="M187" s="28"/>
    </row>
    <row r="188" spans="2:20">
      <c r="B188" s="45" t="s">
        <v>148</v>
      </c>
      <c r="C188" s="1069">
        <v>45291</v>
      </c>
      <c r="D188" s="603">
        <v>4.1200000000000001E-2</v>
      </c>
      <c r="E188" s="603">
        <v>4.7300000000000002E-2</v>
      </c>
      <c r="F188" s="603">
        <v>4.41E-2</v>
      </c>
      <c r="G188" s="603">
        <v>4.2200000000000001E-2</v>
      </c>
      <c r="H188" s="603">
        <v>3.9899999999999998E-2</v>
      </c>
      <c r="I188" s="1047">
        <v>3.8800000000000001E-2</v>
      </c>
      <c r="J188" s="1065">
        <v>39</v>
      </c>
      <c r="K188" s="1066">
        <v>314</v>
      </c>
    </row>
    <row r="189" spans="2:20">
      <c r="B189" s="30"/>
      <c r="C189" s="1030">
        <v>2023</v>
      </c>
      <c r="D189" s="1030" t="s">
        <v>883</v>
      </c>
      <c r="E189" s="1030" t="s">
        <v>884</v>
      </c>
      <c r="F189" s="1030" t="s">
        <v>1269</v>
      </c>
      <c r="G189" s="1030" t="s">
        <v>885</v>
      </c>
      <c r="H189" s="1030" t="s">
        <v>886</v>
      </c>
      <c r="I189" s="1046" t="s">
        <v>887</v>
      </c>
      <c r="J189" s="1067"/>
      <c r="K189" s="1068"/>
      <c r="L189" s="775"/>
      <c r="M189" s="797"/>
    </row>
    <row r="190" spans="2:20">
      <c r="B190" s="45" t="s">
        <v>761</v>
      </c>
      <c r="C190" s="1069">
        <v>45016</v>
      </c>
      <c r="D190" s="603">
        <v>4.7399999999999998E-2</v>
      </c>
      <c r="E190" s="603">
        <v>4.6399999999999997E-2</v>
      </c>
      <c r="F190" s="603">
        <v>4.0599999999999997E-2</v>
      </c>
      <c r="G190" s="603">
        <v>3.8100000000000002E-2</v>
      </c>
      <c r="H190" s="603">
        <v>3.5999999999999997E-2</v>
      </c>
      <c r="I190" s="1047">
        <v>3.4799999999999998E-2</v>
      </c>
      <c r="J190" s="333"/>
      <c r="K190" s="1064">
        <v>362</v>
      </c>
      <c r="L190" s="79" t="s">
        <v>1280</v>
      </c>
      <c r="M190" s="23"/>
    </row>
    <row r="191" spans="2:20">
      <c r="B191" s="45" t="s">
        <v>778</v>
      </c>
      <c r="C191" s="1069">
        <v>45107</v>
      </c>
      <c r="D191" s="603">
        <v>5.2400000000000002E-2</v>
      </c>
      <c r="E191" s="603">
        <v>5.3999999999999999E-2</v>
      </c>
      <c r="F191" s="603">
        <v>4.87E-2</v>
      </c>
      <c r="G191" s="603">
        <v>4.4900000000000002E-2</v>
      </c>
      <c r="H191" s="603">
        <v>4.1300000000000003E-2</v>
      </c>
      <c r="I191" s="1047">
        <v>3.8100000000000002E-2</v>
      </c>
      <c r="J191" s="333"/>
      <c r="K191" s="1048">
        <v>443</v>
      </c>
      <c r="L191" s="50" t="s">
        <v>1312</v>
      </c>
      <c r="M191" s="28"/>
    </row>
    <row r="192" spans="2:20">
      <c r="B192" s="45" t="s">
        <v>779</v>
      </c>
      <c r="C192" s="1069">
        <v>45199</v>
      </c>
      <c r="D192" s="603">
        <v>5.5500000000000001E-2</v>
      </c>
      <c r="E192" s="603">
        <v>5.4600000000000003E-2</v>
      </c>
      <c r="F192" s="603">
        <v>5.0299999999999997E-2</v>
      </c>
      <c r="G192" s="603">
        <v>4.8000000000000001E-2</v>
      </c>
      <c r="H192" s="603">
        <v>4.5999999999999999E-2</v>
      </c>
      <c r="I192" s="1047">
        <v>4.5900000000000003E-2</v>
      </c>
      <c r="J192" s="333"/>
      <c r="K192" s="1048">
        <v>492</v>
      </c>
    </row>
    <row r="193" spans="2:13">
      <c r="B193" s="30"/>
      <c r="C193" s="1049">
        <v>45217</v>
      </c>
      <c r="D193" s="1050">
        <v>5.5800000000000002E-2</v>
      </c>
      <c r="E193" s="1050">
        <v>5.4399999999999997E-2</v>
      </c>
      <c r="F193" s="1050">
        <v>5.1900000000000002E-2</v>
      </c>
      <c r="G193" s="1050">
        <v>5.0099999999999999E-2</v>
      </c>
      <c r="H193" s="1050">
        <v>4.9500000000000002E-2</v>
      </c>
      <c r="I193" s="1051">
        <v>4.9799999999999997E-2</v>
      </c>
      <c r="J193" s="333"/>
      <c r="K193" s="1048"/>
      <c r="L193" s="48" t="s">
        <v>1281</v>
      </c>
      <c r="M193" s="28"/>
    </row>
    <row r="194" spans="2:13">
      <c r="B194" s="159" t="s">
        <v>148</v>
      </c>
      <c r="C194" s="1231">
        <v>45657</v>
      </c>
      <c r="D194" s="1071">
        <v>5.6000000000000001E-2</v>
      </c>
      <c r="E194" s="1071">
        <v>4.7899999999999998E-2</v>
      </c>
      <c r="F194" s="1071">
        <v>4.2299999999999997E-2</v>
      </c>
      <c r="G194" s="1071">
        <v>4.0099999999999997E-2</v>
      </c>
      <c r="H194" s="1071">
        <v>3.8399999999999997E-2</v>
      </c>
      <c r="I194" s="1232">
        <v>3.8800000000000001E-2</v>
      </c>
      <c r="J194" s="1061">
        <v>42</v>
      </c>
      <c r="K194" s="1060">
        <v>530</v>
      </c>
    </row>
    <row r="195" spans="2:13">
      <c r="C195" s="1030">
        <v>2024</v>
      </c>
      <c r="D195" s="1030" t="s">
        <v>883</v>
      </c>
      <c r="E195" s="1030" t="s">
        <v>884</v>
      </c>
      <c r="F195" s="1030" t="s">
        <v>1269</v>
      </c>
      <c r="G195" s="1030" t="s">
        <v>885</v>
      </c>
      <c r="H195" s="1030" t="s">
        <v>886</v>
      </c>
      <c r="I195" s="1046" t="s">
        <v>887</v>
      </c>
    </row>
    <row r="196" spans="2:13">
      <c r="B196" s="45" t="s">
        <v>761</v>
      </c>
      <c r="C196" s="1233">
        <v>45359</v>
      </c>
      <c r="D196" s="1073">
        <v>5.5099999999999996E-2</v>
      </c>
      <c r="E196" s="1073">
        <v>4.9200000000000001E-2</v>
      </c>
      <c r="F196" s="1073">
        <v>4.4800000000000006E-2</v>
      </c>
      <c r="G196" s="1073">
        <v>4.2500000000000003E-2</v>
      </c>
      <c r="H196" s="1073">
        <v>4.0599999999999997E-2</v>
      </c>
      <c r="I196" s="1073">
        <v>4.0899999999999999E-2</v>
      </c>
    </row>
    <row r="198" spans="2:13">
      <c r="D198" s="40" t="s">
        <v>761</v>
      </c>
      <c r="E198" s="40" t="s">
        <v>778</v>
      </c>
      <c r="F198" s="40" t="s">
        <v>779</v>
      </c>
      <c r="G198" s="40" t="s">
        <v>148</v>
      </c>
      <c r="H198" s="151" t="s">
        <v>780</v>
      </c>
      <c r="I198" s="596" t="s">
        <v>824</v>
      </c>
      <c r="J198" s="597" t="s">
        <v>168</v>
      </c>
    </row>
    <row r="199" spans="2:13">
      <c r="B199" s="45">
        <v>2014</v>
      </c>
      <c r="C199" s="45"/>
      <c r="D199" s="324">
        <v>81.2</v>
      </c>
      <c r="E199" s="324">
        <v>99.2</v>
      </c>
      <c r="F199" s="324">
        <v>64.2</v>
      </c>
      <c r="G199" s="324">
        <f t="shared" ref="G199:G206" si="56">+H199-F199-E199-D199</f>
        <v>105.70000000000003</v>
      </c>
      <c r="H199" s="551">
        <v>350.3</v>
      </c>
      <c r="I199" s="598">
        <v>17.7</v>
      </c>
      <c r="J199" s="599">
        <f t="shared" ref="J199:J206" si="57">+H199/I199/1000</f>
        <v>1.97909604519774E-2</v>
      </c>
    </row>
    <row r="200" spans="2:13">
      <c r="B200" s="45">
        <v>2015</v>
      </c>
      <c r="C200" s="45"/>
      <c r="D200" s="324">
        <v>95</v>
      </c>
      <c r="E200" s="324">
        <v>134.5</v>
      </c>
      <c r="F200" s="324">
        <v>92.1</v>
      </c>
      <c r="G200" s="324">
        <f t="shared" si="56"/>
        <v>135.5</v>
      </c>
      <c r="H200" s="551">
        <v>457.1</v>
      </c>
      <c r="I200" s="598">
        <v>19.899999999999999</v>
      </c>
      <c r="J200" s="599">
        <f t="shared" si="57"/>
        <v>2.2969849246231161E-2</v>
      </c>
    </row>
    <row r="201" spans="2:13">
      <c r="B201" s="45">
        <v>2016</v>
      </c>
      <c r="C201" s="45"/>
      <c r="D201" s="324">
        <v>139.30000000000001</v>
      </c>
      <c r="E201" s="324">
        <v>153.6</v>
      </c>
      <c r="F201" s="324">
        <v>97.2</v>
      </c>
      <c r="G201" s="324">
        <f t="shared" si="56"/>
        <v>124.30000000000001</v>
      </c>
      <c r="H201" s="551">
        <v>514.4</v>
      </c>
      <c r="I201" s="598">
        <v>20.3</v>
      </c>
      <c r="J201" s="599">
        <f t="shared" si="57"/>
        <v>2.5339901477832508E-2</v>
      </c>
    </row>
    <row r="202" spans="2:13">
      <c r="B202" s="45">
        <v>2017</v>
      </c>
      <c r="C202" s="45"/>
      <c r="D202" s="324">
        <v>113.6</v>
      </c>
      <c r="E202" s="324">
        <v>90.6</v>
      </c>
      <c r="F202" s="324">
        <v>147.19999999999999</v>
      </c>
      <c r="G202" s="324">
        <f t="shared" si="56"/>
        <v>163.20000000000007</v>
      </c>
      <c r="H202" s="551">
        <v>514.6</v>
      </c>
      <c r="I202" s="598">
        <v>28</v>
      </c>
      <c r="J202" s="599">
        <f t="shared" si="57"/>
        <v>1.8378571428571432E-2</v>
      </c>
    </row>
    <row r="203" spans="2:13">
      <c r="B203" s="45">
        <v>2018</v>
      </c>
      <c r="C203" s="45"/>
      <c r="D203" s="324">
        <v>201.1</v>
      </c>
      <c r="E203" s="324">
        <v>169.2</v>
      </c>
      <c r="F203" s="324">
        <v>182.8</v>
      </c>
      <c r="G203" s="324">
        <f t="shared" si="56"/>
        <v>190.79999999999993</v>
      </c>
      <c r="H203" s="551">
        <v>743.9</v>
      </c>
      <c r="I203" s="598">
        <v>26.7</v>
      </c>
      <c r="J203" s="599">
        <f t="shared" si="57"/>
        <v>2.7861423220973784E-2</v>
      </c>
    </row>
    <row r="204" spans="2:13">
      <c r="B204" s="45">
        <v>2019</v>
      </c>
      <c r="C204" s="45"/>
      <c r="D204" s="324">
        <v>209.5</v>
      </c>
      <c r="E204" s="324">
        <v>204.6</v>
      </c>
      <c r="F204" s="324">
        <v>206.9</v>
      </c>
      <c r="G204" s="324">
        <f t="shared" si="56"/>
        <v>205.29999999999995</v>
      </c>
      <c r="H204" s="551">
        <v>826.3</v>
      </c>
      <c r="I204" s="598">
        <v>26.3</v>
      </c>
      <c r="J204" s="599">
        <f t="shared" si="57"/>
        <v>3.1418250950570339E-2</v>
      </c>
    </row>
    <row r="205" spans="2:13" ht="17" thickBot="1">
      <c r="B205" s="159">
        <v>2020</v>
      </c>
      <c r="C205" s="159"/>
      <c r="D205" s="903">
        <v>206.7</v>
      </c>
      <c r="E205" s="903">
        <v>192.2</v>
      </c>
      <c r="F205" s="903">
        <v>163.9</v>
      </c>
      <c r="G205" s="903">
        <f t="shared" si="56"/>
        <v>153.70000000000005</v>
      </c>
      <c r="H205" s="900">
        <v>716.5</v>
      </c>
      <c r="I205" s="921">
        <v>29.8</v>
      </c>
      <c r="J205" s="922">
        <f t="shared" si="57"/>
        <v>2.4043624161073827E-2</v>
      </c>
    </row>
    <row r="206" spans="2:13">
      <c r="B206" s="923" t="s">
        <v>816</v>
      </c>
      <c r="C206" s="924"/>
      <c r="D206" s="925">
        <v>153</v>
      </c>
      <c r="E206" s="925">
        <v>148.19999999999999</v>
      </c>
      <c r="F206" s="925">
        <v>137</v>
      </c>
      <c r="G206" s="925">
        <f t="shared" si="56"/>
        <v>130.19999999999999</v>
      </c>
      <c r="H206" s="926">
        <v>568.4</v>
      </c>
      <c r="I206" s="927">
        <v>36.799999999999997</v>
      </c>
      <c r="J206" s="928">
        <f t="shared" si="57"/>
        <v>1.5445652173913044E-2</v>
      </c>
    </row>
    <row r="207" spans="2:13">
      <c r="B207" s="929" t="s">
        <v>965</v>
      </c>
      <c r="C207" s="45"/>
      <c r="D207" s="324">
        <v>20.5</v>
      </c>
      <c r="E207" s="324">
        <v>18.8</v>
      </c>
      <c r="F207" s="324">
        <v>38</v>
      </c>
      <c r="G207" s="324">
        <v>30.9</v>
      </c>
      <c r="H207" s="920">
        <f>SUM(D207:G207)</f>
        <v>108.19999999999999</v>
      </c>
      <c r="I207" s="598"/>
      <c r="J207" s="930"/>
    </row>
    <row r="208" spans="2:13">
      <c r="B208" s="929" t="s">
        <v>1059</v>
      </c>
      <c r="C208" s="45"/>
      <c r="D208" s="324">
        <v>-5.6</v>
      </c>
      <c r="E208" s="324">
        <v>-6.2</v>
      </c>
      <c r="F208" s="324">
        <v>-7.8</v>
      </c>
      <c r="G208" s="324">
        <v>-16.2</v>
      </c>
      <c r="H208" s="920">
        <f t="shared" ref="H208:H209" si="58">SUM(D208:G208)</f>
        <v>-35.799999999999997</v>
      </c>
      <c r="I208" s="598"/>
      <c r="J208" s="930"/>
    </row>
    <row r="209" spans="2:10" ht="17" thickBot="1">
      <c r="B209" s="931" t="s">
        <v>1224</v>
      </c>
      <c r="C209" s="932"/>
      <c r="D209" s="933">
        <f>SUM(D206:D208)</f>
        <v>167.9</v>
      </c>
      <c r="E209" s="933">
        <f>SUM(E206:E208)</f>
        <v>160.80000000000001</v>
      </c>
      <c r="F209" s="933">
        <f t="shared" ref="F209:G209" si="59">SUM(F206:F208)</f>
        <v>167.2</v>
      </c>
      <c r="G209" s="933">
        <f t="shared" si="59"/>
        <v>144.9</v>
      </c>
      <c r="H209" s="934">
        <f t="shared" si="58"/>
        <v>640.80000000000007</v>
      </c>
      <c r="I209" s="935">
        <f t="shared" ref="I209:J209" si="60">SUM(I206:I208)</f>
        <v>36.799999999999997</v>
      </c>
      <c r="J209" s="936">
        <f t="shared" si="60"/>
        <v>1.5445652173913044E-2</v>
      </c>
    </row>
    <row r="210" spans="2:10">
      <c r="B210" s="923" t="s">
        <v>816</v>
      </c>
      <c r="C210" s="924"/>
      <c r="D210" s="925">
        <v>153.4</v>
      </c>
      <c r="E210" s="925">
        <v>176.4</v>
      </c>
      <c r="F210" s="925">
        <v>229.8</v>
      </c>
      <c r="G210" s="925">
        <v>314</v>
      </c>
      <c r="H210" s="926">
        <v>873.5</v>
      </c>
      <c r="I210" s="927">
        <v>38.9</v>
      </c>
      <c r="J210" s="937">
        <f>+H210/I210/1000</f>
        <v>2.245501285347044E-2</v>
      </c>
    </row>
    <row r="211" spans="2:10">
      <c r="B211" s="929" t="s">
        <v>965</v>
      </c>
      <c r="C211" s="45"/>
      <c r="D211" s="324">
        <v>27.8</v>
      </c>
      <c r="E211" s="324">
        <v>43.3</v>
      </c>
      <c r="F211" s="324">
        <v>38.700000000000003</v>
      </c>
      <c r="G211" s="324">
        <v>30.6</v>
      </c>
      <c r="H211" s="920">
        <f>SUM(D211:G211)</f>
        <v>140.4</v>
      </c>
      <c r="I211" s="598"/>
      <c r="J211" s="930"/>
    </row>
    <row r="212" spans="2:10">
      <c r="B212" s="929" t="s">
        <v>1059</v>
      </c>
      <c r="C212" s="45"/>
      <c r="D212" s="324">
        <v>-12.3</v>
      </c>
      <c r="E212" s="324">
        <v>-16.600000000000001</v>
      </c>
      <c r="F212" s="324">
        <v>-12</v>
      </c>
      <c r="G212" s="324">
        <v>-11.2</v>
      </c>
      <c r="H212" s="920">
        <f t="shared" ref="H212:H213" si="61">SUM(D212:G212)</f>
        <v>-52.100000000000009</v>
      </c>
      <c r="I212" s="598"/>
      <c r="J212" s="930"/>
    </row>
    <row r="213" spans="2:10" ht="17" thickBot="1">
      <c r="B213" s="931" t="s">
        <v>1224</v>
      </c>
      <c r="C213" s="932"/>
      <c r="D213" s="933">
        <f>SUM(D210:D212)</f>
        <v>168.9</v>
      </c>
      <c r="E213" s="933">
        <f>SUM(E210:E212)</f>
        <v>203.1</v>
      </c>
      <c r="F213" s="933">
        <f t="shared" ref="F213:G213" si="62">SUM(F210:F212)</f>
        <v>256.5</v>
      </c>
      <c r="G213" s="933">
        <f t="shared" si="62"/>
        <v>333.40000000000003</v>
      </c>
      <c r="H213" s="934">
        <f t="shared" si="61"/>
        <v>961.90000000000009</v>
      </c>
      <c r="I213" s="935">
        <f t="shared" ref="I213:J213" si="63">SUM(I210:I212)</f>
        <v>38.9</v>
      </c>
      <c r="J213" s="938">
        <f t="shared" si="63"/>
        <v>2.245501285347044E-2</v>
      </c>
    </row>
    <row r="214" spans="2:10">
      <c r="B214" s="939" t="s">
        <v>816</v>
      </c>
      <c r="C214" s="940" t="s">
        <v>1225</v>
      </c>
      <c r="D214" s="925">
        <v>362</v>
      </c>
      <c r="E214" s="925">
        <v>442.6</v>
      </c>
      <c r="F214" s="925">
        <v>491.7</v>
      </c>
      <c r="G214" s="952">
        <v>530</v>
      </c>
      <c r="H214" s="941">
        <f>SUM(D214:G214)</f>
        <v>1826.3</v>
      </c>
      <c r="I214" s="954">
        <v>42</v>
      </c>
      <c r="J214" s="955">
        <f>+H214/I214/1000</f>
        <v>4.3483333333333332E-2</v>
      </c>
    </row>
    <row r="215" spans="2:10">
      <c r="B215" s="929" t="s">
        <v>965</v>
      </c>
      <c r="C215" s="479" t="s">
        <v>1225</v>
      </c>
      <c r="D215" s="324">
        <v>32</v>
      </c>
      <c r="E215" s="324">
        <v>34</v>
      </c>
      <c r="F215" s="324">
        <v>35</v>
      </c>
      <c r="G215" s="705">
        <v>65</v>
      </c>
      <c r="H215" s="604">
        <f t="shared" ref="H215:H217" si="64">SUM(D215:G215)</f>
        <v>166</v>
      </c>
      <c r="I215" s="598"/>
      <c r="J215" s="942"/>
    </row>
    <row r="216" spans="2:10">
      <c r="B216" s="929" t="s">
        <v>1059</v>
      </c>
      <c r="C216" s="479" t="s">
        <v>1225</v>
      </c>
      <c r="D216" s="324">
        <v>-12</v>
      </c>
      <c r="E216" s="324">
        <v>-12</v>
      </c>
      <c r="F216" s="324">
        <v>-14</v>
      </c>
      <c r="G216" s="705">
        <v>-16</v>
      </c>
      <c r="H216" s="604">
        <f t="shared" si="64"/>
        <v>-54</v>
      </c>
      <c r="I216" s="598"/>
      <c r="J216" s="942"/>
    </row>
    <row r="217" spans="2:10" ht="17" thickBot="1">
      <c r="B217" s="931" t="s">
        <v>1224</v>
      </c>
      <c r="C217" s="943"/>
      <c r="D217" s="951">
        <v>382.3</v>
      </c>
      <c r="E217" s="951">
        <f>SUM(E214:E216)</f>
        <v>464.6</v>
      </c>
      <c r="F217" s="951">
        <f t="shared" ref="F217:G217" si="65">SUM(F214:F216)</f>
        <v>512.70000000000005</v>
      </c>
      <c r="G217" s="953">
        <f t="shared" si="65"/>
        <v>579</v>
      </c>
      <c r="H217" s="944">
        <f t="shared" si="64"/>
        <v>1938.6000000000001</v>
      </c>
      <c r="I217" s="945"/>
      <c r="J217" s="946"/>
    </row>
    <row r="218" spans="2:10" ht="17" thickBot="1">
      <c r="B218" s="950" t="s">
        <v>1226</v>
      </c>
      <c r="C218" s="947" t="s">
        <v>1225</v>
      </c>
      <c r="D218" s="948">
        <v>550</v>
      </c>
      <c r="E218" s="948">
        <v>540</v>
      </c>
      <c r="F218" s="948">
        <v>530</v>
      </c>
      <c r="G218" s="948">
        <v>520</v>
      </c>
      <c r="H218" s="949">
        <f>SUM(D218:G218)</f>
        <v>2140</v>
      </c>
      <c r="I218" s="956">
        <v>47</v>
      </c>
      <c r="J218" s="957">
        <f>+H218/I218/1000</f>
        <v>4.553191489361702E-2</v>
      </c>
    </row>
    <row r="222" spans="2:10">
      <c r="C222" s="11" t="s">
        <v>1235</v>
      </c>
    </row>
    <row r="224" spans="2:10">
      <c r="D224" s="39" t="s">
        <v>761</v>
      </c>
      <c r="E224" s="39" t="s">
        <v>778</v>
      </c>
      <c r="F224" s="39" t="s">
        <v>779</v>
      </c>
      <c r="G224" s="39" t="s">
        <v>148</v>
      </c>
      <c r="H224" s="835" t="s">
        <v>19</v>
      </c>
    </row>
    <row r="225" spans="2:15">
      <c r="C225" s="40">
        <v>2023</v>
      </c>
      <c r="D225" s="318"/>
      <c r="E225" s="318"/>
      <c r="F225" s="318">
        <v>20</v>
      </c>
      <c r="G225" s="318">
        <v>10</v>
      </c>
      <c r="H225" s="837">
        <f>SUM(D225:G225)</f>
        <v>30</v>
      </c>
      <c r="I225" s="50" t="s">
        <v>1237</v>
      </c>
      <c r="J225" s="63"/>
      <c r="K225" s="63"/>
      <c r="L225" s="63"/>
      <c r="M225" s="63"/>
      <c r="N225" s="28"/>
    </row>
    <row r="226" spans="2:15">
      <c r="C226" s="80"/>
      <c r="D226" s="318"/>
      <c r="E226" s="318"/>
      <c r="F226" s="318">
        <v>25</v>
      </c>
      <c r="G226" s="318">
        <v>25</v>
      </c>
      <c r="H226" s="837">
        <f>SUM(D226:G226)</f>
        <v>50</v>
      </c>
      <c r="I226" s="50" t="s">
        <v>1218</v>
      </c>
      <c r="J226" s="63"/>
      <c r="K226" s="63"/>
      <c r="L226" s="63"/>
      <c r="M226" s="63"/>
      <c r="N226" s="28"/>
    </row>
    <row r="227" spans="2:15">
      <c r="C227" s="90"/>
      <c r="D227" s="318"/>
      <c r="E227" s="318"/>
      <c r="F227" s="318">
        <v>22</v>
      </c>
      <c r="G227" s="318">
        <v>22</v>
      </c>
      <c r="H227" s="837">
        <f>SUM(D227:G227)</f>
        <v>44</v>
      </c>
      <c r="I227" s="50" t="s">
        <v>1236</v>
      </c>
      <c r="J227" s="63"/>
      <c r="K227" s="63"/>
      <c r="L227" s="63"/>
      <c r="M227" s="63"/>
      <c r="N227" s="28"/>
    </row>
    <row r="228" spans="2:15">
      <c r="C228" s="828" t="s">
        <v>19</v>
      </c>
      <c r="D228" s="605"/>
      <c r="E228" s="605"/>
      <c r="F228" s="605">
        <f>SUM(F225:F227)</f>
        <v>67</v>
      </c>
      <c r="G228" s="605">
        <f>SUM(G225:G227)</f>
        <v>57</v>
      </c>
      <c r="H228" s="605">
        <f>SUM(D228:G228)</f>
        <v>124</v>
      </c>
    </row>
    <row r="229" spans="2:15">
      <c r="C229" s="42"/>
      <c r="D229" s="469"/>
      <c r="E229" s="469"/>
      <c r="F229" s="469"/>
      <c r="G229" s="469"/>
      <c r="H229" s="469"/>
    </row>
    <row r="230" spans="2:15">
      <c r="C230" s="40">
        <v>2024</v>
      </c>
      <c r="D230" s="318"/>
      <c r="E230" s="318"/>
      <c r="F230" s="318"/>
      <c r="G230" s="318"/>
      <c r="H230" s="837">
        <f>SUM(D230:G230)</f>
        <v>0</v>
      </c>
      <c r="I230" s="50" t="s">
        <v>1264</v>
      </c>
      <c r="J230" s="63"/>
      <c r="K230" s="63"/>
      <c r="L230" s="63"/>
      <c r="M230" s="63"/>
      <c r="N230" s="28"/>
    </row>
    <row r="231" spans="2:15">
      <c r="C231" s="80"/>
      <c r="D231" s="318">
        <v>22</v>
      </c>
      <c r="E231" s="318">
        <v>22</v>
      </c>
      <c r="F231" s="318">
        <v>0</v>
      </c>
      <c r="G231" s="318">
        <v>0</v>
      </c>
      <c r="H231" s="837">
        <f>SUM(D231:G231)</f>
        <v>44</v>
      </c>
      <c r="I231" s="50" t="s">
        <v>1236</v>
      </c>
      <c r="J231" s="63"/>
      <c r="K231" s="63"/>
      <c r="L231" s="63"/>
      <c r="M231" s="63"/>
      <c r="N231" s="28"/>
    </row>
    <row r="232" spans="2:15">
      <c r="C232" s="80"/>
      <c r="D232" s="318">
        <v>25</v>
      </c>
      <c r="E232" s="318">
        <v>25</v>
      </c>
      <c r="F232" s="318">
        <v>25</v>
      </c>
      <c r="G232" s="318">
        <v>25</v>
      </c>
      <c r="H232" s="837">
        <f>SUM(D232:G232)</f>
        <v>100</v>
      </c>
      <c r="I232" s="50" t="s">
        <v>1234</v>
      </c>
      <c r="J232" s="63"/>
      <c r="K232" s="63"/>
      <c r="L232" s="63"/>
      <c r="M232" s="63"/>
      <c r="N232" s="28"/>
    </row>
    <row r="233" spans="2:15">
      <c r="C233" s="90"/>
      <c r="D233" s="318"/>
      <c r="E233" s="318"/>
      <c r="F233" s="318">
        <v>-25</v>
      </c>
      <c r="G233" s="318">
        <v>-25</v>
      </c>
      <c r="H233" s="837">
        <f>SUM(D233:G233)</f>
        <v>-50</v>
      </c>
      <c r="I233" s="50" t="s">
        <v>1219</v>
      </c>
      <c r="J233" s="63"/>
      <c r="K233" s="63"/>
      <c r="L233" s="63"/>
      <c r="M233" s="63"/>
      <c r="N233" s="28"/>
    </row>
    <row r="234" spans="2:15">
      <c r="C234" s="829" t="s">
        <v>19</v>
      </c>
      <c r="D234" s="905">
        <f>SUM(D230:D233)</f>
        <v>47</v>
      </c>
      <c r="E234" s="905">
        <f>SUM(E230:E233)</f>
        <v>47</v>
      </c>
      <c r="F234" s="905">
        <f>SUM(F230:F233)</f>
        <v>0</v>
      </c>
      <c r="G234" s="905">
        <f>SUM(G230:G233)</f>
        <v>0</v>
      </c>
      <c r="H234" s="793">
        <f>SUM(D234:G234)</f>
        <v>94</v>
      </c>
    </row>
    <row r="238" spans="2:15">
      <c r="B238" s="11" t="s">
        <v>1406</v>
      </c>
    </row>
    <row r="239" spans="2:15">
      <c r="B239" s="11" t="s">
        <v>1884</v>
      </c>
      <c r="E239" s="40">
        <v>2024</v>
      </c>
      <c r="F239" s="40" t="s">
        <v>1405</v>
      </c>
      <c r="I239" s="318">
        <v>1841</v>
      </c>
      <c r="J239" s="401" t="e">
        <f t="shared" ref="J239" si="66">+I239/Q239</f>
        <v>#DIV/0!</v>
      </c>
      <c r="K239" s="846" t="e">
        <f t="shared" ref="K239" si="67">+I239/C239/1000</f>
        <v>#DIV/0!</v>
      </c>
      <c r="L239" s="646"/>
      <c r="M239" s="318">
        <v>134</v>
      </c>
      <c r="N239" s="333"/>
      <c r="O239" s="318">
        <v>-79</v>
      </c>
    </row>
    <row r="240" spans="2:15">
      <c r="B240" s="50" t="s">
        <v>1263</v>
      </c>
      <c r="C240" s="63"/>
      <c r="D240" s="63"/>
      <c r="E240" s="1229">
        <f>+I27</f>
        <v>2341.2000000000003</v>
      </c>
      <c r="F240" s="1241">
        <f>+E240/E245</f>
        <v>0.89728652460524305</v>
      </c>
    </row>
    <row r="241" spans="2:6">
      <c r="B241" s="50" t="s">
        <v>965</v>
      </c>
      <c r="C241" s="63"/>
      <c r="D241" s="63"/>
      <c r="E241" s="1229">
        <f t="shared" ref="E241:E242" si="68">+I28</f>
        <v>268</v>
      </c>
      <c r="F241" s="1241">
        <f>+E241/E245</f>
        <v>0.102713475394757</v>
      </c>
    </row>
    <row r="242" spans="2:6">
      <c r="B242" s="50" t="s">
        <v>1059</v>
      </c>
      <c r="C242" s="63"/>
      <c r="D242" s="63"/>
      <c r="E242" s="1229">
        <f t="shared" si="68"/>
        <v>-97.6</v>
      </c>
      <c r="F242" s="1241" t="s">
        <v>40</v>
      </c>
    </row>
    <row r="243" spans="2:6">
      <c r="B243" s="48" t="s">
        <v>19</v>
      </c>
      <c r="C243" s="63"/>
      <c r="D243" s="63"/>
      <c r="E243" s="336">
        <f>SUM(E240:E242)</f>
        <v>2511.6000000000004</v>
      </c>
      <c r="F243" s="1240"/>
    </row>
    <row r="245" spans="2:6">
      <c r="E245" s="53">
        <f>+E240+E241</f>
        <v>2609.2000000000003</v>
      </c>
    </row>
  </sheetData>
  <mergeCells count="11">
    <mergeCell ref="L182:M182"/>
    <mergeCell ref="L179:M179"/>
    <mergeCell ref="C140:G140"/>
    <mergeCell ref="B105:C105"/>
    <mergeCell ref="B106:C106"/>
    <mergeCell ref="S5:U5"/>
    <mergeCell ref="BB17:BC17"/>
    <mergeCell ref="D93:F93"/>
    <mergeCell ref="L180:M180"/>
    <mergeCell ref="L181:M181"/>
    <mergeCell ref="S20:V20"/>
  </mergeCells>
  <phoneticPr fontId="16" type="noConversion"/>
  <printOptions gridLines="1"/>
  <pageMargins left="0.75000000000000011" right="0.75000000000000011" top="0.60629921259842523" bottom="0.60629921259842523" header="0.5" footer="0.5"/>
  <pageSetup orientation="portrait" horizontalDpi="4294967292" verticalDpi="4294967292"/>
  <ignoredErrors>
    <ignoredError sqref="E243" formulaRange="1"/>
  </ignoredError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ACDA-1E73-D344-8570-9C99A603C7C9}">
  <sheetPr codeName="Sheet8">
    <pageSetUpPr fitToPage="1"/>
  </sheetPr>
  <dimension ref="B2:BE83"/>
  <sheetViews>
    <sheetView topLeftCell="A11" zoomScale="99" workbookViewId="0">
      <selection activeCell="E6" sqref="E6"/>
    </sheetView>
  </sheetViews>
  <sheetFormatPr baseColWidth="10" defaultRowHeight="16"/>
  <cols>
    <col min="2" max="2" width="3.5" customWidth="1"/>
    <col min="3" max="3" width="22.1640625" customWidth="1"/>
    <col min="4" max="6" width="6.1640625" customWidth="1"/>
    <col min="7" max="10" width="7.33203125" hidden="1" customWidth="1"/>
    <col min="11" max="11" width="7.33203125" customWidth="1"/>
    <col min="12" max="15" width="7.33203125" hidden="1" customWidth="1"/>
    <col min="16" max="16" width="6.5" customWidth="1"/>
    <col min="17" max="20" width="7.33203125" hidden="1" customWidth="1"/>
    <col min="21" max="21" width="6.5" customWidth="1"/>
    <col min="22" max="22" width="1.1640625" customWidth="1"/>
    <col min="23" max="24" width="7.33203125" customWidth="1"/>
    <col min="25" max="25" width="6.5" customWidth="1"/>
    <col min="26" max="26" width="7.33203125" customWidth="1"/>
    <col min="27" max="27" width="6.6640625" customWidth="1"/>
    <col min="28" max="28" width="4.83203125" hidden="1" customWidth="1"/>
    <col min="29" max="29" width="1.1640625" customWidth="1"/>
    <col min="30" max="30" width="6.6640625" bestFit="1" customWidth="1"/>
    <col min="31" max="31" width="8.83203125" customWidth="1"/>
    <col min="32" max="32" width="14.5" customWidth="1"/>
    <col min="33" max="33" width="3.5" customWidth="1"/>
    <col min="34" max="34" width="1.6640625" customWidth="1"/>
    <col min="36" max="36" width="9.83203125" bestFit="1" customWidth="1"/>
    <col min="39" max="39" width="24" customWidth="1"/>
    <col min="40" max="43" width="6.6640625" customWidth="1"/>
    <col min="44" max="49" width="6.6640625" bestFit="1" customWidth="1"/>
    <col min="50" max="51" width="7.1640625" bestFit="1" customWidth="1"/>
    <col min="52" max="54" width="6.6640625" bestFit="1" customWidth="1"/>
    <col min="55" max="55" width="6.6640625" customWidth="1"/>
    <col min="56" max="56" width="7.33203125" customWidth="1"/>
    <col min="57" max="57" width="6.6640625" customWidth="1"/>
  </cols>
  <sheetData>
    <row r="2" spans="2:57">
      <c r="AD2" s="53">
        <f>+AD6+AD7</f>
        <v>810</v>
      </c>
      <c r="AE2" s="53"/>
      <c r="AF2" s="636">
        <f>+AD2/AD21</f>
        <v>0.77142857142857146</v>
      </c>
    </row>
    <row r="4" spans="2:57">
      <c r="C4" s="11" t="s">
        <v>1088</v>
      </c>
      <c r="J4" s="1741" t="s">
        <v>1308</v>
      </c>
      <c r="O4" s="1741" t="s">
        <v>1308</v>
      </c>
      <c r="P4" s="42"/>
      <c r="T4" s="1741" t="s">
        <v>1308</v>
      </c>
      <c r="U4" s="42"/>
      <c r="V4" s="42"/>
      <c r="Y4" s="42"/>
      <c r="Z4" s="1741" t="s">
        <v>1308</v>
      </c>
      <c r="AA4" s="863" t="s">
        <v>881</v>
      </c>
      <c r="AB4" s="42"/>
      <c r="AD4" s="1245" t="s">
        <v>881</v>
      </c>
      <c r="AE4" s="42"/>
    </row>
    <row r="5" spans="2:57">
      <c r="C5" t="s">
        <v>2208</v>
      </c>
      <c r="D5" s="39">
        <v>2019</v>
      </c>
      <c r="E5" s="39">
        <v>2020</v>
      </c>
      <c r="F5" s="129">
        <v>2021</v>
      </c>
      <c r="G5" s="39" t="s">
        <v>164</v>
      </c>
      <c r="H5" s="39" t="s">
        <v>1091</v>
      </c>
      <c r="I5" s="39" t="s">
        <v>1306</v>
      </c>
      <c r="J5" s="41" t="s">
        <v>1306</v>
      </c>
      <c r="K5" s="129">
        <v>2022</v>
      </c>
      <c r="L5" s="39" t="s">
        <v>1062</v>
      </c>
      <c r="M5" s="39" t="s">
        <v>1092</v>
      </c>
      <c r="N5" s="305" t="s">
        <v>1307</v>
      </c>
      <c r="O5" s="1742" t="s">
        <v>1307</v>
      </c>
      <c r="P5" s="39">
        <v>2023</v>
      </c>
      <c r="Q5" s="39" t="s">
        <v>1578</v>
      </c>
      <c r="R5" s="39" t="s">
        <v>1641</v>
      </c>
      <c r="S5" s="39" t="s">
        <v>1669</v>
      </c>
      <c r="T5" s="1742" t="s">
        <v>1669</v>
      </c>
      <c r="U5" s="305">
        <v>2024</v>
      </c>
      <c r="V5" s="51"/>
      <c r="W5" s="39" t="s">
        <v>2070</v>
      </c>
      <c r="X5" s="39" t="s">
        <v>2071</v>
      </c>
      <c r="Y5" s="39" t="s">
        <v>2072</v>
      </c>
      <c r="Z5" s="1742">
        <v>2025</v>
      </c>
      <c r="AA5" s="1320">
        <v>2025</v>
      </c>
      <c r="AB5" s="981" t="s">
        <v>1893</v>
      </c>
      <c r="AD5" s="1246">
        <v>2026</v>
      </c>
      <c r="AE5" s="42"/>
      <c r="AF5" s="11" t="s">
        <v>48</v>
      </c>
      <c r="AI5" s="1" t="s">
        <v>1088</v>
      </c>
    </row>
    <row r="6" spans="2:57">
      <c r="C6" s="46" t="s">
        <v>2</v>
      </c>
      <c r="D6" s="405"/>
      <c r="E6" s="318">
        <v>-11.9</v>
      </c>
      <c r="F6" s="318">
        <v>162.30000000000001</v>
      </c>
      <c r="G6" s="318">
        <v>30.7</v>
      </c>
      <c r="H6" s="318">
        <v>118.7</v>
      </c>
      <c r="I6" s="318">
        <v>80.2</v>
      </c>
      <c r="J6" s="401">
        <f>+G6+H6+I6</f>
        <v>229.60000000000002</v>
      </c>
      <c r="K6" s="318">
        <v>263</v>
      </c>
      <c r="L6" s="318">
        <v>94.6</v>
      </c>
      <c r="M6" s="318">
        <v>130.5</v>
      </c>
      <c r="N6" s="318">
        <v>118.9</v>
      </c>
      <c r="O6" s="1745">
        <f>+L6+M6+N6</f>
        <v>344</v>
      </c>
      <c r="P6" s="318">
        <f>+P54</f>
        <v>437.7</v>
      </c>
      <c r="Q6" s="318">
        <v>79.3</v>
      </c>
      <c r="R6" s="647">
        <v>126.1</v>
      </c>
      <c r="S6" s="318">
        <v>138.30000000000001</v>
      </c>
      <c r="T6" s="836">
        <f>+Q6+R6+S6</f>
        <v>343.7</v>
      </c>
      <c r="U6" s="318">
        <v>515</v>
      </c>
      <c r="V6" s="333"/>
      <c r="W6" s="647">
        <v>105.7</v>
      </c>
      <c r="X6" s="647">
        <v>104.6</v>
      </c>
      <c r="Y6" s="647">
        <v>140.4</v>
      </c>
      <c r="Z6" s="1743">
        <f>+W6+X6+Y6</f>
        <v>350.70000000000005</v>
      </c>
      <c r="AA6" s="318">
        <v>474.1</v>
      </c>
      <c r="AB6" s="737">
        <f>+AA6/$AA$21</f>
        <v>0.57196284232114858</v>
      </c>
      <c r="AD6" s="765">
        <v>510</v>
      </c>
      <c r="AE6" s="333"/>
      <c r="AF6" s="46" t="s">
        <v>897</v>
      </c>
      <c r="AI6" s="742">
        <v>2025</v>
      </c>
      <c r="AJ6" s="740">
        <v>950</v>
      </c>
    </row>
    <row r="7" spans="2:57">
      <c r="B7" s="11"/>
      <c r="C7" s="46" t="s">
        <v>1670</v>
      </c>
      <c r="D7" s="318">
        <v>83.8</v>
      </c>
      <c r="E7" s="318">
        <v>116.4</v>
      </c>
      <c r="F7" s="318">
        <v>69.5</v>
      </c>
      <c r="G7" s="318">
        <v>49.7</v>
      </c>
      <c r="H7" s="318">
        <v>72</v>
      </c>
      <c r="I7" s="318">
        <v>58.3</v>
      </c>
      <c r="J7" s="318">
        <f>+G7+H7+I7</f>
        <v>180</v>
      </c>
      <c r="K7" s="318">
        <v>258.2</v>
      </c>
      <c r="L7" s="318">
        <v>50.1</v>
      </c>
      <c r="M7" s="318">
        <v>6.3</v>
      </c>
      <c r="N7" s="318">
        <v>45.5</v>
      </c>
      <c r="O7" s="836">
        <f>+L7+M7+N7</f>
        <v>101.9</v>
      </c>
      <c r="P7" s="318">
        <f>+P55</f>
        <v>149.6</v>
      </c>
      <c r="Q7" s="318">
        <v>34.799999999999997</v>
      </c>
      <c r="R7" s="647">
        <v>66.5</v>
      </c>
      <c r="S7" s="318">
        <v>61.7</v>
      </c>
      <c r="T7" s="836">
        <f>+Q7+R7+S7</f>
        <v>163</v>
      </c>
      <c r="U7" s="318">
        <v>212.6</v>
      </c>
      <c r="V7" s="333"/>
      <c r="W7" s="647">
        <v>80.5</v>
      </c>
      <c r="X7" s="647">
        <v>68.5</v>
      </c>
      <c r="Y7" s="647">
        <v>67.900000000000006</v>
      </c>
      <c r="Z7" s="1743">
        <f>+W7+X7+Y7</f>
        <v>216.9</v>
      </c>
      <c r="AA7" s="318">
        <v>286.89999999999998</v>
      </c>
      <c r="AB7" s="737">
        <f>+AA7/$AA$21</f>
        <v>0.34612136566533958</v>
      </c>
      <c r="AD7" s="765">
        <v>300</v>
      </c>
      <c r="AE7" s="333"/>
      <c r="AF7" s="46"/>
      <c r="AI7" s="746">
        <v>2024</v>
      </c>
      <c r="AJ7" s="719">
        <v>956</v>
      </c>
      <c r="AM7" t="s">
        <v>1315</v>
      </c>
    </row>
    <row r="8" spans="2:57">
      <c r="C8" s="46" t="s">
        <v>4</v>
      </c>
      <c r="D8" s="318">
        <v>-183</v>
      </c>
      <c r="E8" s="318">
        <v>-125</v>
      </c>
      <c r="F8" s="318">
        <v>-1</v>
      </c>
      <c r="G8" s="318"/>
      <c r="H8" s="318"/>
      <c r="I8" s="318"/>
      <c r="J8" s="318"/>
      <c r="K8" s="318">
        <v>7</v>
      </c>
      <c r="L8" s="318"/>
      <c r="M8" s="318"/>
      <c r="N8" s="318">
        <v>1.1000000000000001</v>
      </c>
      <c r="O8" s="836"/>
      <c r="P8" s="318">
        <v>-47</v>
      </c>
      <c r="Q8" s="318"/>
      <c r="R8" s="647">
        <v>3</v>
      </c>
      <c r="S8" s="318">
        <v>2.7</v>
      </c>
      <c r="T8" s="836">
        <f>+Q8+R8+S8</f>
        <v>5.7</v>
      </c>
      <c r="U8" s="318">
        <v>10.4</v>
      </c>
      <c r="V8" s="333"/>
      <c r="W8" s="647">
        <v>2.4</v>
      </c>
      <c r="X8" s="647">
        <v>-29.1</v>
      </c>
      <c r="Y8" s="647">
        <v>1.7</v>
      </c>
      <c r="Z8" s="1743">
        <f>+W8+X8+Y8</f>
        <v>-25.000000000000004</v>
      </c>
      <c r="AA8" s="740">
        <v>-23</v>
      </c>
      <c r="AB8" s="737">
        <f>+AA8/$AA$21</f>
        <v>-2.7747617324164555E-2</v>
      </c>
      <c r="AD8" s="765">
        <v>5</v>
      </c>
      <c r="AE8" s="333"/>
      <c r="AF8" s="46"/>
      <c r="AI8" s="45" t="s">
        <v>815</v>
      </c>
      <c r="AJ8" s="318">
        <v>1022</v>
      </c>
    </row>
    <row r="9" spans="2:57">
      <c r="C9" s="46" t="s">
        <v>128</v>
      </c>
      <c r="D9" s="318">
        <v>21.6</v>
      </c>
      <c r="E9" s="318">
        <v>-4.5999999999999996</v>
      </c>
      <c r="F9" s="318">
        <v>-41.2</v>
      </c>
      <c r="G9" s="318">
        <v>38</v>
      </c>
      <c r="H9" s="318">
        <v>-38.5</v>
      </c>
      <c r="I9" s="318">
        <v>43.5</v>
      </c>
      <c r="J9" s="318">
        <f>+G9+H9+I9</f>
        <v>43</v>
      </c>
      <c r="K9" s="318">
        <v>81.900000000000006</v>
      </c>
      <c r="L9" s="318">
        <v>69.2</v>
      </c>
      <c r="M9" s="318">
        <v>46.2</v>
      </c>
      <c r="N9" s="318">
        <v>14.5</v>
      </c>
      <c r="O9" s="836">
        <f>+L9+M9+N9</f>
        <v>129.9</v>
      </c>
      <c r="P9" s="318">
        <f>+P56</f>
        <v>129.1</v>
      </c>
      <c r="Q9" s="318">
        <v>36</v>
      </c>
      <c r="R9" s="647">
        <v>-6.6</v>
      </c>
      <c r="S9" s="318">
        <v>-4.8</v>
      </c>
      <c r="T9" s="836">
        <f>+Q9+R9+S9</f>
        <v>24.599999999999998</v>
      </c>
      <c r="U9" s="318">
        <v>39.6</v>
      </c>
      <c r="V9" s="333"/>
      <c r="W9" s="647">
        <v>-7.1</v>
      </c>
      <c r="X9" s="647">
        <v>-13</v>
      </c>
      <c r="Y9" s="647">
        <v>38.799999999999997</v>
      </c>
      <c r="Z9" s="1743">
        <f>+W9+X9+Y9</f>
        <v>18.699999999999996</v>
      </c>
      <c r="AA9" s="318">
        <v>52.5</v>
      </c>
      <c r="AB9" s="737">
        <f>+AA9/$AA$21</f>
        <v>6.333695258776692E-2</v>
      </c>
      <c r="AD9" s="765">
        <v>75</v>
      </c>
      <c r="AE9" s="333"/>
      <c r="AF9" s="46"/>
      <c r="AI9" s="45">
        <v>2022</v>
      </c>
      <c r="AJ9" s="318">
        <v>1015</v>
      </c>
      <c r="AN9" s="39">
        <v>2015</v>
      </c>
      <c r="AO9" s="39">
        <v>2015</v>
      </c>
      <c r="AP9" s="39">
        <v>2016</v>
      </c>
      <c r="AQ9" s="39">
        <v>2016</v>
      </c>
      <c r="AR9" s="39">
        <v>2017</v>
      </c>
      <c r="AS9" s="39">
        <v>2017</v>
      </c>
      <c r="AT9" s="835">
        <v>2018</v>
      </c>
      <c r="AU9" s="835">
        <v>2018</v>
      </c>
      <c r="AV9" s="39">
        <v>2019</v>
      </c>
      <c r="AW9" s="39">
        <v>2019</v>
      </c>
      <c r="AX9" s="835">
        <v>2020</v>
      </c>
      <c r="AY9" s="835">
        <v>2020</v>
      </c>
      <c r="AZ9" s="39">
        <v>2021</v>
      </c>
      <c r="BA9" s="39">
        <v>2021</v>
      </c>
      <c r="BB9" s="835">
        <v>2022</v>
      </c>
      <c r="BC9" s="835">
        <v>2022</v>
      </c>
      <c r="BD9" s="39">
        <v>2023</v>
      </c>
      <c r="BE9" s="39">
        <v>2023</v>
      </c>
    </row>
    <row r="10" spans="2:57">
      <c r="C10" s="46" t="s">
        <v>2380</v>
      </c>
      <c r="D10" s="405"/>
      <c r="E10" s="405"/>
      <c r="F10" s="405"/>
      <c r="G10" s="405"/>
      <c r="H10" s="405"/>
      <c r="I10" s="405"/>
      <c r="J10" s="405"/>
      <c r="K10" s="405"/>
      <c r="L10" s="405"/>
      <c r="M10" s="405"/>
      <c r="N10" s="405"/>
      <c r="O10" s="405"/>
      <c r="P10" s="405"/>
      <c r="Q10" s="318"/>
      <c r="R10" s="647"/>
      <c r="S10" s="318"/>
      <c r="T10" s="836"/>
      <c r="U10" s="318"/>
      <c r="V10" s="333"/>
      <c r="W10" s="647">
        <v>-59.5</v>
      </c>
      <c r="X10" s="647">
        <v>-38.700000000000003</v>
      </c>
      <c r="Y10" s="647">
        <v>16.5</v>
      </c>
      <c r="Z10" s="1743">
        <f>+W10+X10+Y10</f>
        <v>-81.7</v>
      </c>
      <c r="AA10" s="318">
        <v>-64.7</v>
      </c>
      <c r="AB10" s="737"/>
      <c r="AD10" s="765">
        <v>50</v>
      </c>
      <c r="AE10" s="333"/>
      <c r="AF10" s="46" t="s">
        <v>2073</v>
      </c>
      <c r="AI10" s="45"/>
      <c r="AJ10" s="318"/>
      <c r="AN10" s="39"/>
      <c r="AO10" s="39"/>
      <c r="AP10" s="39"/>
      <c r="AQ10" s="39"/>
      <c r="AR10" s="39"/>
      <c r="AS10" s="39"/>
      <c r="AT10" s="835"/>
      <c r="AU10" s="835"/>
      <c r="AV10" s="39"/>
      <c r="AW10" s="39"/>
      <c r="AX10" s="835"/>
      <c r="AY10" s="835"/>
      <c r="AZ10" s="39"/>
      <c r="BA10" s="39"/>
      <c r="BB10" s="835"/>
      <c r="BC10" s="835"/>
      <c r="BD10" s="39"/>
      <c r="BE10" s="39"/>
    </row>
    <row r="11" spans="2:57">
      <c r="C11" s="46" t="s">
        <v>7</v>
      </c>
      <c r="D11" s="405"/>
      <c r="E11" s="405"/>
      <c r="F11" s="405"/>
      <c r="G11" s="318">
        <v>0</v>
      </c>
      <c r="H11" s="318">
        <v>0</v>
      </c>
      <c r="I11" s="318">
        <v>0</v>
      </c>
      <c r="J11" s="318">
        <f>+G11+H11+I11</f>
        <v>0</v>
      </c>
      <c r="K11" s="405"/>
      <c r="L11" s="318">
        <v>4</v>
      </c>
      <c r="M11" s="318">
        <v>-12.7</v>
      </c>
      <c r="N11" s="318">
        <v>20.5</v>
      </c>
      <c r="O11" s="836">
        <f>+L11+M11+N11</f>
        <v>11.8</v>
      </c>
      <c r="P11" s="318">
        <f>+P58</f>
        <v>23.7</v>
      </c>
      <c r="Q11" s="318">
        <v>-4.4000000000000004</v>
      </c>
      <c r="R11" s="647">
        <v>11</v>
      </c>
      <c r="S11" s="318">
        <v>11.7</v>
      </c>
      <c r="T11" s="836">
        <f>+Q11+R11+S11</f>
        <v>18.299999999999997</v>
      </c>
      <c r="U11" s="318">
        <v>18.3</v>
      </c>
      <c r="V11" s="333"/>
      <c r="W11" s="405"/>
      <c r="X11" s="405"/>
      <c r="Y11" s="405"/>
      <c r="Z11" s="405"/>
      <c r="AA11" s="405"/>
      <c r="AB11" s="1166"/>
      <c r="AD11" s="405"/>
      <c r="AE11" s="333"/>
      <c r="AF11" s="46" t="s">
        <v>2074</v>
      </c>
      <c r="AI11" s="45"/>
      <c r="AJ11" s="318"/>
      <c r="AN11" s="39"/>
      <c r="AO11" s="39"/>
      <c r="AP11" s="39"/>
      <c r="AQ11" s="39"/>
      <c r="AR11" s="39"/>
      <c r="AS11" s="39"/>
      <c r="AT11" s="835"/>
      <c r="AU11" s="835"/>
      <c r="AV11" s="39"/>
      <c r="AW11" s="39"/>
      <c r="AX11" s="835"/>
      <c r="AY11" s="835"/>
      <c r="AZ11" s="39"/>
      <c r="BA11" s="39"/>
      <c r="BB11" s="835"/>
      <c r="BC11" s="835"/>
      <c r="BD11" s="39"/>
      <c r="BE11" s="39"/>
    </row>
    <row r="12" spans="2:57">
      <c r="C12" s="69" t="s">
        <v>105</v>
      </c>
      <c r="D12" s="318">
        <f>+D59</f>
        <v>-5.0999999999999996</v>
      </c>
      <c r="E12" s="318">
        <f t="shared" ref="E12:U12" si="0">+E59</f>
        <v>34.200000000000003</v>
      </c>
      <c r="F12" s="318">
        <f t="shared" si="0"/>
        <v>13.3</v>
      </c>
      <c r="G12" s="318">
        <f>+G59</f>
        <v>0</v>
      </c>
      <c r="H12" s="318">
        <f>+H59</f>
        <v>0</v>
      </c>
      <c r="I12" s="318">
        <f>+I59</f>
        <v>0</v>
      </c>
      <c r="J12" s="318">
        <f>+J59</f>
        <v>0</v>
      </c>
      <c r="K12" s="318">
        <f t="shared" si="0"/>
        <v>7.7</v>
      </c>
      <c r="L12" s="318">
        <f>+L59</f>
        <v>0</v>
      </c>
      <c r="M12" s="318">
        <f>+M59</f>
        <v>0</v>
      </c>
      <c r="N12" s="318">
        <f>+N59</f>
        <v>0</v>
      </c>
      <c r="O12" s="836">
        <f>+O59</f>
        <v>0</v>
      </c>
      <c r="P12" s="318">
        <f t="shared" si="0"/>
        <v>23.3</v>
      </c>
      <c r="Q12" s="318">
        <f t="shared" si="0"/>
        <v>0</v>
      </c>
      <c r="R12" s="647">
        <f t="shared" si="0"/>
        <v>0</v>
      </c>
      <c r="S12" s="318">
        <f t="shared" si="0"/>
        <v>0</v>
      </c>
      <c r="T12" s="836">
        <f t="shared" si="0"/>
        <v>0</v>
      </c>
      <c r="U12" s="318">
        <f t="shared" si="0"/>
        <v>57</v>
      </c>
      <c r="V12" s="333"/>
      <c r="W12" s="405"/>
      <c r="X12" s="405"/>
      <c r="Y12" s="405"/>
      <c r="Z12" s="405"/>
      <c r="AA12" s="208"/>
      <c r="AB12" s="1166"/>
      <c r="AD12" s="208"/>
      <c r="AE12" s="69"/>
      <c r="AF12" s="46" t="s">
        <v>1892</v>
      </c>
      <c r="AI12" s="45">
        <v>2021</v>
      </c>
      <c r="AJ12" s="318">
        <v>402</v>
      </c>
      <c r="AN12" s="39" t="s">
        <v>1148</v>
      </c>
      <c r="AO12" s="39" t="s">
        <v>1149</v>
      </c>
      <c r="AP12" s="39" t="s">
        <v>1148</v>
      </c>
      <c r="AQ12" s="39" t="s">
        <v>1149</v>
      </c>
      <c r="AR12" s="39" t="s">
        <v>1148</v>
      </c>
      <c r="AS12" s="39" t="s">
        <v>1149</v>
      </c>
      <c r="AT12" s="835" t="s">
        <v>1148</v>
      </c>
      <c r="AU12" s="835" t="s">
        <v>1149</v>
      </c>
      <c r="AV12" s="39" t="s">
        <v>1148</v>
      </c>
      <c r="AW12" s="39" t="s">
        <v>1149</v>
      </c>
      <c r="AX12" s="835" t="s">
        <v>1148</v>
      </c>
      <c r="AY12" s="835" t="s">
        <v>1149</v>
      </c>
      <c r="AZ12" s="39" t="s">
        <v>1148</v>
      </c>
      <c r="BA12" s="39" t="s">
        <v>1149</v>
      </c>
      <c r="BB12" s="835" t="s">
        <v>1148</v>
      </c>
      <c r="BC12" s="835" t="s">
        <v>1149</v>
      </c>
      <c r="BD12" s="39" t="s">
        <v>1148</v>
      </c>
      <c r="BE12" s="39" t="s">
        <v>1149</v>
      </c>
    </row>
    <row r="13" spans="2:57">
      <c r="C13" s="46" t="s">
        <v>854</v>
      </c>
      <c r="D13" s="401">
        <v>-4.9000000000000004</v>
      </c>
      <c r="E13" s="401">
        <v>-57</v>
      </c>
      <c r="F13" s="401">
        <v>75.900000000000006</v>
      </c>
      <c r="G13" s="401">
        <v>0</v>
      </c>
      <c r="H13" s="401">
        <v>0</v>
      </c>
      <c r="I13" s="401">
        <v>0</v>
      </c>
      <c r="J13" s="401">
        <f>+G13+H13+I13</f>
        <v>0</v>
      </c>
      <c r="K13" s="401">
        <v>159</v>
      </c>
      <c r="L13" s="1026">
        <v>0</v>
      </c>
      <c r="M13" s="1026">
        <v>0</v>
      </c>
      <c r="N13" s="1026">
        <v>0</v>
      </c>
      <c r="O13" s="1026"/>
      <c r="P13" s="405"/>
      <c r="Q13" s="208"/>
      <c r="R13" s="1324"/>
      <c r="S13" s="208"/>
      <c r="T13" s="208"/>
      <c r="U13" s="405"/>
      <c r="V13" s="333"/>
      <c r="W13" s="405"/>
      <c r="X13" s="405"/>
      <c r="Y13" s="405"/>
      <c r="Z13" s="405"/>
      <c r="AA13" s="405"/>
      <c r="AB13" s="1166"/>
      <c r="AD13" s="405"/>
      <c r="AE13" s="333"/>
      <c r="AF13" s="46" t="s">
        <v>1891</v>
      </c>
      <c r="AI13" s="45">
        <v>2020</v>
      </c>
      <c r="AJ13" s="318">
        <v>-112.8</v>
      </c>
      <c r="AM13" s="46" t="s">
        <v>1141</v>
      </c>
      <c r="AN13" s="46"/>
      <c r="AO13" s="46"/>
      <c r="AP13" s="46"/>
      <c r="AQ13" s="46"/>
      <c r="AR13" s="318">
        <v>783.1</v>
      </c>
      <c r="AS13" s="318">
        <v>711</v>
      </c>
      <c r="AT13" s="836">
        <v>700.7</v>
      </c>
      <c r="AU13" s="836">
        <v>554</v>
      </c>
      <c r="AV13" s="318">
        <v>706.5</v>
      </c>
      <c r="AW13" s="318">
        <v>492.1</v>
      </c>
      <c r="AX13" s="836">
        <v>1541.5</v>
      </c>
      <c r="AY13" s="836">
        <v>1304.7</v>
      </c>
      <c r="AZ13" s="318">
        <v>1099.0999999999999</v>
      </c>
      <c r="BA13" s="318">
        <v>607.4</v>
      </c>
      <c r="BB13" s="836">
        <v>1069</v>
      </c>
      <c r="BC13" s="836">
        <v>647.29999999999995</v>
      </c>
      <c r="BD13" s="318">
        <v>711.2</v>
      </c>
      <c r="BE13" s="318">
        <v>368.7</v>
      </c>
    </row>
    <row r="14" spans="2:57">
      <c r="C14" s="46" t="s">
        <v>1890</v>
      </c>
      <c r="D14" s="318">
        <f>+D39+D40+D41+D43+D44</f>
        <v>31.400000000000002</v>
      </c>
      <c r="E14" s="318">
        <f>+E39+E40+E41+E43+E44</f>
        <v>-37.4</v>
      </c>
      <c r="F14" s="318">
        <f t="shared" ref="F14:U14" si="1">+F39+F40+F41+F43+F44</f>
        <v>-7.0999999999999943</v>
      </c>
      <c r="G14" s="318">
        <f>+G39+G40+G41+G43+G44</f>
        <v>0</v>
      </c>
      <c r="H14" s="318">
        <f>+H39+H40+H41+H43+H44</f>
        <v>0</v>
      </c>
      <c r="I14" s="318">
        <f>+I39+I40+I41+I43+I44</f>
        <v>0</v>
      </c>
      <c r="J14" s="318">
        <f>+J39+J40+J41+J43+J44</f>
        <v>0</v>
      </c>
      <c r="K14" s="318">
        <f t="shared" si="1"/>
        <v>95.899999999999991</v>
      </c>
      <c r="L14" s="318">
        <f>+L39+L40+L41+L43+L44</f>
        <v>0</v>
      </c>
      <c r="M14" s="318">
        <f>+M39+M40+M41+M43+M44</f>
        <v>0</v>
      </c>
      <c r="N14" s="318">
        <f>+N39+N40+N41+N43+N44</f>
        <v>0</v>
      </c>
      <c r="O14" s="836">
        <f>+O39+O40+O41+O43+O44</f>
        <v>0</v>
      </c>
      <c r="P14" s="318">
        <f t="shared" si="1"/>
        <v>107</v>
      </c>
      <c r="Q14" s="318">
        <f t="shared" si="1"/>
        <v>0</v>
      </c>
      <c r="R14" s="647">
        <v>-23.9</v>
      </c>
      <c r="S14" s="318">
        <f t="shared" si="1"/>
        <v>0</v>
      </c>
      <c r="T14" s="836">
        <f t="shared" si="1"/>
        <v>0</v>
      </c>
      <c r="U14" s="318">
        <f t="shared" si="1"/>
        <v>40.1</v>
      </c>
      <c r="V14" s="333"/>
      <c r="W14" s="647">
        <v>19.8</v>
      </c>
      <c r="X14" s="647">
        <v>11.1</v>
      </c>
      <c r="Y14" s="647">
        <v>22.3</v>
      </c>
      <c r="Z14" s="1743">
        <f>+W14+X14+Y14</f>
        <v>53.2</v>
      </c>
      <c r="AA14" s="740">
        <v>65</v>
      </c>
      <c r="AB14" s="737">
        <f>+AA14/$AA$21</f>
        <v>7.8417179394378089E-2</v>
      </c>
      <c r="AD14" s="765">
        <v>65</v>
      </c>
      <c r="AE14" s="333"/>
      <c r="AF14" s="46"/>
      <c r="AI14" s="45">
        <v>2019</v>
      </c>
      <c r="AJ14" s="318">
        <v>169.9</v>
      </c>
      <c r="AM14" s="47" t="s">
        <v>1142</v>
      </c>
      <c r="AN14" s="47"/>
      <c r="AO14" s="47"/>
      <c r="AP14" s="47"/>
      <c r="AQ14" s="47"/>
      <c r="AR14" s="318"/>
      <c r="AS14" s="318"/>
      <c r="AT14" s="836"/>
      <c r="AU14" s="836"/>
      <c r="AV14" s="318"/>
      <c r="AW14" s="318"/>
      <c r="AX14" s="836"/>
      <c r="AY14" s="836"/>
      <c r="AZ14" s="318"/>
      <c r="BA14" s="318"/>
      <c r="BB14" s="836"/>
      <c r="BC14" s="836"/>
      <c r="BD14" s="318"/>
      <c r="BE14" s="318"/>
    </row>
    <row r="15" spans="2:57">
      <c r="C15" s="69" t="s">
        <v>220</v>
      </c>
      <c r="D15" s="333">
        <v>199</v>
      </c>
      <c r="E15" s="333">
        <v>20</v>
      </c>
      <c r="F15" s="333">
        <v>41</v>
      </c>
      <c r="K15" s="333">
        <v>37</v>
      </c>
      <c r="O15" s="1746"/>
      <c r="P15" s="318">
        <v>45</v>
      </c>
      <c r="Q15" s="208"/>
      <c r="R15" s="1324"/>
      <c r="S15" s="208"/>
      <c r="T15" s="208"/>
      <c r="U15" s="405"/>
      <c r="V15" s="333"/>
      <c r="W15" s="405"/>
      <c r="X15" s="405"/>
      <c r="Y15" s="405"/>
      <c r="Z15" s="405"/>
      <c r="AA15" s="405"/>
      <c r="AB15" s="1166"/>
      <c r="AD15" s="405"/>
      <c r="AE15" s="333"/>
      <c r="AF15" s="69" t="s">
        <v>2075</v>
      </c>
      <c r="AI15" s="45">
        <v>2018</v>
      </c>
      <c r="AJ15" s="318">
        <v>221.1</v>
      </c>
      <c r="AM15" s="46" t="s">
        <v>1146</v>
      </c>
      <c r="AN15" s="46"/>
      <c r="AO15" s="46"/>
      <c r="AP15" s="46"/>
      <c r="AQ15" s="46"/>
      <c r="AR15" s="318">
        <v>1820.6</v>
      </c>
      <c r="AS15" s="318">
        <v>1058.8</v>
      </c>
      <c r="AT15" s="836">
        <f>2521.2-672.5</f>
        <v>1848.6999999999998</v>
      </c>
      <c r="AU15" s="836">
        <f>2260.4-1044.6</f>
        <v>1215.8000000000002</v>
      </c>
      <c r="AV15" s="318">
        <f>2803.6-332.1</f>
        <v>2471.5</v>
      </c>
      <c r="AW15" s="318">
        <f>2191.4-704.1</f>
        <v>1487.3000000000002</v>
      </c>
      <c r="AX15" s="836">
        <f>2706.5-366.8</f>
        <v>2339.6999999999998</v>
      </c>
      <c r="AY15" s="836">
        <f>1985.8-558.9</f>
        <v>1426.9</v>
      </c>
      <c r="AZ15" s="318">
        <f>3196.3-528.5</f>
        <v>2667.8</v>
      </c>
      <c r="BA15" s="318">
        <f>1901.1-506.3</f>
        <v>1394.8</v>
      </c>
      <c r="BB15" s="836">
        <f>2739.2-228.3</f>
        <v>2510.8999999999996</v>
      </c>
      <c r="BC15" s="836">
        <f>1848.3-459.6</f>
        <v>1388.6999999999998</v>
      </c>
      <c r="BD15" s="318">
        <f>3013.9-323.6</f>
        <v>2690.3</v>
      </c>
      <c r="BE15" s="318">
        <f>1887.1-433</f>
        <v>1454.1</v>
      </c>
    </row>
    <row r="16" spans="2:57">
      <c r="C16" s="46" t="s">
        <v>846</v>
      </c>
      <c r="D16" s="318">
        <v>15.4</v>
      </c>
      <c r="E16" s="318">
        <v>5.8</v>
      </c>
      <c r="F16" s="318">
        <v>55.5</v>
      </c>
      <c r="G16" s="318">
        <v>1.3</v>
      </c>
      <c r="H16" s="318">
        <v>17.7</v>
      </c>
      <c r="I16" s="318">
        <v>-1.5</v>
      </c>
      <c r="J16" s="318">
        <f>+G16+H16+I16</f>
        <v>17.5</v>
      </c>
      <c r="K16" s="318">
        <v>53</v>
      </c>
      <c r="L16" s="318">
        <v>28.7</v>
      </c>
      <c r="M16" s="318">
        <v>24.1</v>
      </c>
      <c r="N16" s="318">
        <v>-2.2000000000000002</v>
      </c>
      <c r="O16" s="836">
        <f>+L16+M16+N16</f>
        <v>50.599999999999994</v>
      </c>
      <c r="P16" s="318">
        <f>+P30</f>
        <v>42.6</v>
      </c>
      <c r="Q16" s="405"/>
      <c r="R16" s="1324"/>
      <c r="S16" s="405"/>
      <c r="T16" s="405"/>
      <c r="U16" s="405"/>
      <c r="V16" s="333"/>
      <c r="W16" s="405"/>
      <c r="X16" s="405"/>
      <c r="Y16" s="405"/>
      <c r="Z16" s="405"/>
      <c r="AA16" s="405"/>
      <c r="AB16" s="1166"/>
      <c r="AD16" s="405"/>
      <c r="AE16" s="333"/>
      <c r="AF16" s="46" t="s">
        <v>2076</v>
      </c>
      <c r="AI16" s="45">
        <v>2017</v>
      </c>
      <c r="AJ16" s="318">
        <v>200.5</v>
      </c>
      <c r="AM16" s="46" t="s">
        <v>4</v>
      </c>
      <c r="AN16" s="46"/>
      <c r="AO16" s="46"/>
      <c r="AP16" s="46"/>
      <c r="AQ16" s="46"/>
      <c r="AR16" s="318">
        <v>0</v>
      </c>
      <c r="AS16" s="318">
        <v>0</v>
      </c>
      <c r="AT16" s="836">
        <v>672.5</v>
      </c>
      <c r="AU16" s="836">
        <v>1044.5999999999999</v>
      </c>
      <c r="AV16" s="318">
        <v>332.1</v>
      </c>
      <c r="AW16" s="318">
        <v>704.1</v>
      </c>
      <c r="AX16" s="836">
        <v>366.8</v>
      </c>
      <c r="AY16" s="836">
        <v>558.9</v>
      </c>
      <c r="AZ16" s="318">
        <v>528.5</v>
      </c>
      <c r="BA16" s="318">
        <v>506.3</v>
      </c>
      <c r="BB16" s="836">
        <v>228.3</v>
      </c>
      <c r="BC16" s="836">
        <v>459.6</v>
      </c>
      <c r="BD16" s="318">
        <v>323.60000000000002</v>
      </c>
      <c r="BE16" s="318">
        <v>433</v>
      </c>
    </row>
    <row r="17" spans="2:57">
      <c r="C17" s="46" t="s">
        <v>2182</v>
      </c>
      <c r="D17" s="318"/>
      <c r="E17" s="318"/>
      <c r="F17" s="405"/>
      <c r="G17" s="318"/>
      <c r="H17" s="318"/>
      <c r="I17" s="318"/>
      <c r="J17" s="318"/>
      <c r="K17" s="405"/>
      <c r="L17" s="318"/>
      <c r="M17" s="318"/>
      <c r="N17" s="318"/>
      <c r="O17" s="836"/>
      <c r="P17" s="405"/>
      <c r="Q17" s="405"/>
      <c r="R17" s="1324"/>
      <c r="S17" s="405"/>
      <c r="T17" s="405"/>
      <c r="U17" s="405"/>
      <c r="V17" s="333"/>
      <c r="W17" s="405"/>
      <c r="X17" s="405"/>
      <c r="Y17" s="647">
        <v>4.0999999999999996</v>
      </c>
      <c r="Z17" s="1743">
        <f>+W17+X17+Y17</f>
        <v>4.0999999999999996</v>
      </c>
      <c r="AA17" s="740">
        <v>8</v>
      </c>
      <c r="AB17" s="1166"/>
      <c r="AD17" s="765">
        <v>10</v>
      </c>
      <c r="AE17" s="333"/>
      <c r="AF17" s="46"/>
      <c r="AI17" s="45"/>
      <c r="AJ17" s="318"/>
      <c r="AM17" s="46"/>
      <c r="AN17" s="46"/>
      <c r="AO17" s="46"/>
      <c r="AP17" s="46"/>
      <c r="AQ17" s="46"/>
      <c r="AR17" s="318"/>
      <c r="AS17" s="318"/>
      <c r="AT17" s="836"/>
      <c r="AU17" s="836"/>
      <c r="AV17" s="318"/>
      <c r="AW17" s="318"/>
      <c r="AX17" s="836"/>
      <c r="AY17" s="836"/>
      <c r="AZ17" s="318"/>
      <c r="BA17" s="318"/>
      <c r="BB17" s="836"/>
      <c r="BC17" s="836"/>
      <c r="BD17" s="318"/>
      <c r="BE17" s="318"/>
    </row>
    <row r="18" spans="2:57">
      <c r="C18" s="46" t="s">
        <v>59</v>
      </c>
      <c r="D18" s="318">
        <v>-7.6</v>
      </c>
      <c r="E18" s="318">
        <v>8.8000000000000007</v>
      </c>
      <c r="F18" s="318">
        <v>5.3</v>
      </c>
      <c r="G18" s="318">
        <v>-3.4</v>
      </c>
      <c r="H18" s="318">
        <v>-0.8</v>
      </c>
      <c r="I18" s="318">
        <v>-9.6999999999999993</v>
      </c>
      <c r="J18" s="318">
        <f>+G18+H18+I18</f>
        <v>-13.899999999999999</v>
      </c>
      <c r="K18" s="318">
        <v>-11</v>
      </c>
      <c r="L18" s="318">
        <v>9.4</v>
      </c>
      <c r="M18" s="318">
        <v>9</v>
      </c>
      <c r="N18" s="318">
        <v>7.5</v>
      </c>
      <c r="O18" s="836">
        <f>+L18+M18+N18</f>
        <v>25.9</v>
      </c>
      <c r="P18" s="318">
        <f>+P31</f>
        <v>43.2</v>
      </c>
      <c r="Q18" s="318">
        <v>5.9</v>
      </c>
      <c r="R18" s="647">
        <v>10.199999999999999</v>
      </c>
      <c r="S18" s="318">
        <v>7.7</v>
      </c>
      <c r="T18" s="836">
        <f>+Q18+R18+S18</f>
        <v>23.8</v>
      </c>
      <c r="U18" s="318">
        <v>59.7</v>
      </c>
      <c r="V18" s="333"/>
      <c r="W18" s="647">
        <v>8.6</v>
      </c>
      <c r="X18" s="647">
        <v>27.4</v>
      </c>
      <c r="Y18" s="647">
        <v>14.4</v>
      </c>
      <c r="Z18" s="1743">
        <f>+W18+X18+Y18</f>
        <v>50.4</v>
      </c>
      <c r="AA18" s="318">
        <v>55.1</v>
      </c>
      <c r="AB18" s="737">
        <f>+AA18/$AA$21</f>
        <v>6.647363976354205E-2</v>
      </c>
      <c r="AD18" s="765">
        <v>60</v>
      </c>
      <c r="AE18" s="333"/>
      <c r="AF18" s="46"/>
      <c r="AI18" s="45">
        <v>2016</v>
      </c>
      <c r="AJ18" s="318">
        <v>24.2</v>
      </c>
      <c r="AM18" s="46" t="s">
        <v>1143</v>
      </c>
      <c r="AN18" s="46"/>
      <c r="AO18" s="46"/>
      <c r="AP18" s="46"/>
      <c r="AQ18" s="46"/>
      <c r="AR18" s="318">
        <v>287.7</v>
      </c>
      <c r="AS18" s="318">
        <v>219.8</v>
      </c>
      <c r="AT18" s="836">
        <v>304.3</v>
      </c>
      <c r="AU18" s="836">
        <v>288.10000000000002</v>
      </c>
      <c r="AV18" s="318">
        <v>285.39999999999998</v>
      </c>
      <c r="AW18" s="318">
        <v>232.9</v>
      </c>
      <c r="AX18" s="836">
        <v>205.2</v>
      </c>
      <c r="AY18" s="836">
        <v>207.2</v>
      </c>
      <c r="AZ18" s="318">
        <v>0</v>
      </c>
      <c r="BA18" s="318">
        <v>0</v>
      </c>
      <c r="BB18" s="836">
        <v>0</v>
      </c>
      <c r="BC18" s="836">
        <v>0</v>
      </c>
      <c r="BD18" s="318">
        <v>0</v>
      </c>
      <c r="BE18" s="318">
        <v>0</v>
      </c>
    </row>
    <row r="19" spans="2:57" hidden="1">
      <c r="C19" s="47" t="s">
        <v>1089</v>
      </c>
      <c r="D19" s="336">
        <f t="shared" ref="D19:S19" si="2">SUM(D6:D18)</f>
        <v>150.60000000000002</v>
      </c>
      <c r="E19" s="336">
        <f t="shared" si="2"/>
        <v>-50.7</v>
      </c>
      <c r="F19" s="336">
        <f t="shared" si="2"/>
        <v>373.50000000000006</v>
      </c>
      <c r="G19" s="336">
        <f>SUM(G6:G18)</f>
        <v>116.3</v>
      </c>
      <c r="H19" s="336">
        <f>SUM(H6:H18)</f>
        <v>169.09999999999997</v>
      </c>
      <c r="I19" s="336">
        <f>SUM(I6:I18)</f>
        <v>170.8</v>
      </c>
      <c r="J19" s="336">
        <f>+G19+H19+I19</f>
        <v>456.2</v>
      </c>
      <c r="K19" s="336">
        <f t="shared" si="2"/>
        <v>951.7</v>
      </c>
      <c r="L19" s="336">
        <f>SUM(L6:L18)</f>
        <v>255.99999999999997</v>
      </c>
      <c r="M19" s="336">
        <f>SUM(M6:M18)</f>
        <v>203.4</v>
      </c>
      <c r="N19" s="336">
        <f>SUM(N6:N18)</f>
        <v>205.8</v>
      </c>
      <c r="O19" s="837">
        <f>+L19+M19+N19</f>
        <v>665.2</v>
      </c>
      <c r="P19" s="336">
        <f t="shared" si="2"/>
        <v>954.2</v>
      </c>
      <c r="Q19" s="336">
        <f t="shared" si="2"/>
        <v>151.6</v>
      </c>
      <c r="R19" s="1100">
        <f t="shared" si="2"/>
        <v>186.29999999999998</v>
      </c>
      <c r="S19" s="336">
        <f t="shared" si="2"/>
        <v>217.29999999999995</v>
      </c>
      <c r="T19" s="837">
        <f>SUM(T6:T18)</f>
        <v>579.09999999999991</v>
      </c>
      <c r="U19" s="336">
        <f>SUM(U6:U18)</f>
        <v>952.7</v>
      </c>
      <c r="V19" s="1760"/>
      <c r="W19" s="1100">
        <f t="shared" ref="W19:X19" si="3">SUM(W6:W18)</f>
        <v>150.4</v>
      </c>
      <c r="X19" s="1100">
        <f t="shared" si="3"/>
        <v>130.79999999999998</v>
      </c>
      <c r="Y19" s="1100">
        <f t="shared" ref="Y19:Z19" si="4">SUM(Y6:Y18)</f>
        <v>306.10000000000002</v>
      </c>
      <c r="Z19" s="1744">
        <f t="shared" si="4"/>
        <v>587.30000000000007</v>
      </c>
      <c r="AA19" s="1359">
        <f>SUM(AA6:AA18)</f>
        <v>853.9</v>
      </c>
      <c r="AB19" s="737"/>
      <c r="AD19" s="1331">
        <f>SUM(AD6:AD18)</f>
        <v>1075</v>
      </c>
      <c r="AE19" s="1760"/>
      <c r="AF19" s="46"/>
      <c r="AI19" s="45">
        <v>2015</v>
      </c>
      <c r="AJ19" s="318">
        <v>172.9</v>
      </c>
      <c r="AM19" s="46" t="s">
        <v>1144</v>
      </c>
      <c r="AN19" s="46"/>
      <c r="AO19" s="46"/>
      <c r="AP19" s="46"/>
      <c r="AQ19" s="46"/>
      <c r="AR19" s="318">
        <v>196.2</v>
      </c>
      <c r="AS19" s="318">
        <v>228.7</v>
      </c>
      <c r="AT19" s="836">
        <v>109.7</v>
      </c>
      <c r="AU19" s="836">
        <v>183.8</v>
      </c>
      <c r="AV19" s="318">
        <v>72.7</v>
      </c>
      <c r="AW19" s="318">
        <v>156.6</v>
      </c>
      <c r="AX19" s="836">
        <v>49.9</v>
      </c>
      <c r="AY19" s="836">
        <v>65.3</v>
      </c>
      <c r="AZ19" s="318">
        <v>0</v>
      </c>
      <c r="BA19" s="318">
        <v>0</v>
      </c>
      <c r="BB19" s="836">
        <v>0</v>
      </c>
      <c r="BC19" s="836">
        <v>0</v>
      </c>
      <c r="BD19" s="318">
        <v>0</v>
      </c>
      <c r="BE19" s="318">
        <v>0</v>
      </c>
    </row>
    <row r="20" spans="2:57">
      <c r="C20" s="46" t="s">
        <v>1090</v>
      </c>
      <c r="D20" s="318">
        <f t="shared" ref="D20:Q20" si="5">+D72-D19</f>
        <v>19.000000000000028</v>
      </c>
      <c r="E20" s="318">
        <f t="shared" si="5"/>
        <v>-62.100000000000009</v>
      </c>
      <c r="F20" s="318">
        <f t="shared" si="5"/>
        <v>28.499999999999943</v>
      </c>
      <c r="G20" s="318">
        <f t="shared" si="5"/>
        <v>64.3</v>
      </c>
      <c r="H20" s="318">
        <f t="shared" si="5"/>
        <v>-169.09999999999997</v>
      </c>
      <c r="I20" s="318">
        <f t="shared" si="5"/>
        <v>-170.8</v>
      </c>
      <c r="J20" s="318">
        <f t="shared" si="5"/>
        <v>-456.2</v>
      </c>
      <c r="K20" s="318">
        <f t="shared" si="5"/>
        <v>63.000000000000114</v>
      </c>
      <c r="L20" s="318">
        <f t="shared" si="5"/>
        <v>77.80000000000004</v>
      </c>
      <c r="M20" s="318">
        <f t="shared" si="5"/>
        <v>-203.4</v>
      </c>
      <c r="N20" s="318">
        <f t="shared" si="5"/>
        <v>-205.8</v>
      </c>
      <c r="O20" s="836">
        <f t="shared" si="5"/>
        <v>-665.2</v>
      </c>
      <c r="P20" s="318">
        <f t="shared" si="5"/>
        <v>68</v>
      </c>
      <c r="Q20" s="318">
        <f t="shared" si="5"/>
        <v>-23.899999999999991</v>
      </c>
      <c r="R20" s="647">
        <f>46.3-0.2-11</f>
        <v>35.099999999999994</v>
      </c>
      <c r="S20" s="318">
        <f>+S72-S19</f>
        <v>-217.29999999999995</v>
      </c>
      <c r="T20" s="836">
        <f>+T72-T19</f>
        <v>-579.09999999999991</v>
      </c>
      <c r="U20" s="318">
        <f>+U72-U19</f>
        <v>3.6000000000001364</v>
      </c>
      <c r="V20" s="333"/>
      <c r="W20" s="647">
        <f>+-83.1+59.5+1.8</f>
        <v>-21.799999999999994</v>
      </c>
      <c r="X20" s="647">
        <f>-37+38.7-1.8</f>
        <v>-9.9999999999997202E-2</v>
      </c>
      <c r="Y20" s="647">
        <f>2.3-16.5+12.8</f>
        <v>-1.3999999999999986</v>
      </c>
      <c r="Z20" s="1743">
        <f>+W20+X20+Y20</f>
        <v>-23.29999999999999</v>
      </c>
      <c r="AA20" s="740">
        <v>-25</v>
      </c>
      <c r="AB20" s="737">
        <f>+AA20/$AA$21</f>
        <v>-3.0160453613222345E-2</v>
      </c>
      <c r="AD20" s="765">
        <v>-25</v>
      </c>
      <c r="AE20" s="333"/>
      <c r="AF20" s="46" t="s">
        <v>1874</v>
      </c>
      <c r="AI20" s="45">
        <v>2014</v>
      </c>
      <c r="AJ20" s="318">
        <v>105.7</v>
      </c>
      <c r="AM20" s="46" t="s">
        <v>1145</v>
      </c>
      <c r="AN20" s="46"/>
      <c r="AO20" s="46"/>
      <c r="AP20" s="46"/>
      <c r="AQ20" s="46"/>
      <c r="AR20" s="318">
        <v>302.10000000000002</v>
      </c>
      <c r="AS20" s="318">
        <v>302</v>
      </c>
      <c r="AT20" s="836">
        <v>363.4</v>
      </c>
      <c r="AU20" s="836">
        <v>353</v>
      </c>
      <c r="AV20" s="318">
        <v>179.8</v>
      </c>
      <c r="AW20" s="318">
        <v>173.7</v>
      </c>
      <c r="AX20" s="836">
        <v>132.6</v>
      </c>
      <c r="AY20" s="836">
        <v>135.1</v>
      </c>
      <c r="AZ20" s="318">
        <v>215.9</v>
      </c>
      <c r="BA20" s="318">
        <v>216.8</v>
      </c>
      <c r="BB20" s="836">
        <v>162.4</v>
      </c>
      <c r="BC20" s="836">
        <v>164.4</v>
      </c>
      <c r="BD20" s="318">
        <v>177.3</v>
      </c>
      <c r="BE20" s="318">
        <v>177.3</v>
      </c>
    </row>
    <row r="21" spans="2:57">
      <c r="C21" s="47" t="s">
        <v>868</v>
      </c>
      <c r="D21" s="336">
        <f>+D19+D20</f>
        <v>169.60000000000005</v>
      </c>
      <c r="E21" s="336">
        <f>+E19+E20</f>
        <v>-112.80000000000001</v>
      </c>
      <c r="F21" s="336">
        <f>+F19+F20</f>
        <v>402</v>
      </c>
      <c r="G21" s="336">
        <f>+G19+G20</f>
        <v>180.6</v>
      </c>
      <c r="H21" s="336">
        <v>265.7</v>
      </c>
      <c r="I21" s="336">
        <v>317.7</v>
      </c>
      <c r="J21" s="336">
        <f>+G21+H21+I21</f>
        <v>764</v>
      </c>
      <c r="K21" s="336">
        <f>+K19+K20</f>
        <v>1014.7000000000002</v>
      </c>
      <c r="L21" s="336">
        <f>+L19+L20</f>
        <v>333.8</v>
      </c>
      <c r="M21" s="336">
        <v>269.2</v>
      </c>
      <c r="N21" s="336">
        <f>+N19+N20</f>
        <v>0</v>
      </c>
      <c r="O21" s="837">
        <f>+L21+M21+N21</f>
        <v>603</v>
      </c>
      <c r="P21" s="336">
        <f t="shared" ref="P21:U21" si="6">+P19+P20</f>
        <v>1022.2</v>
      </c>
      <c r="Q21" s="336">
        <f t="shared" si="6"/>
        <v>127.7</v>
      </c>
      <c r="R21" s="1100">
        <f t="shared" si="6"/>
        <v>221.39999999999998</v>
      </c>
      <c r="S21" s="336">
        <f t="shared" si="6"/>
        <v>0</v>
      </c>
      <c r="T21" s="837">
        <f t="shared" si="6"/>
        <v>0</v>
      </c>
      <c r="U21" s="336">
        <f t="shared" si="6"/>
        <v>956.30000000000018</v>
      </c>
      <c r="V21" s="1760"/>
      <c r="W21" s="1100">
        <f>+W19+W20</f>
        <v>128.60000000000002</v>
      </c>
      <c r="X21" s="1100">
        <f>+X19+X20</f>
        <v>130.69999999999999</v>
      </c>
      <c r="Y21" s="1100">
        <f>+Y19+Y20</f>
        <v>304.70000000000005</v>
      </c>
      <c r="Z21" s="1744">
        <f>+Z19+Z20</f>
        <v>564.00000000000011</v>
      </c>
      <c r="AA21" s="1359">
        <f>+AA19+AA20</f>
        <v>828.9</v>
      </c>
      <c r="AB21" s="1359"/>
      <c r="AD21" s="1331">
        <f>+AD19+AD20</f>
        <v>1050</v>
      </c>
      <c r="AE21" s="1760"/>
      <c r="AF21" s="46"/>
      <c r="AI21" s="45">
        <v>2013</v>
      </c>
      <c r="AJ21" s="318">
        <v>96.7</v>
      </c>
      <c r="AM21" s="46" t="s">
        <v>41</v>
      </c>
      <c r="AN21" s="46"/>
      <c r="AO21" s="46"/>
      <c r="AP21" s="46"/>
      <c r="AQ21" s="46"/>
      <c r="AR21" s="318">
        <v>1239.5999999999999</v>
      </c>
      <c r="AS21" s="318">
        <v>1136</v>
      </c>
      <c r="AT21" s="836">
        <v>1223.8</v>
      </c>
      <c r="AU21" s="836">
        <v>1223.7</v>
      </c>
      <c r="AV21" s="318">
        <v>3152.9</v>
      </c>
      <c r="AW21" s="318">
        <v>2737.8</v>
      </c>
      <c r="AX21" s="836">
        <v>2515.6</v>
      </c>
      <c r="AY21" s="836">
        <v>2741.5</v>
      </c>
      <c r="AZ21" s="318">
        <v>3779.9</v>
      </c>
      <c r="BA21" s="318">
        <v>3378.7</v>
      </c>
      <c r="BB21" s="836">
        <v>5281.7</v>
      </c>
      <c r="BC21" s="836">
        <v>4773.8999999999996</v>
      </c>
      <c r="BD21" s="318">
        <v>6305.4</v>
      </c>
      <c r="BE21" s="318">
        <v>5604.2</v>
      </c>
    </row>
    <row r="22" spans="2:57">
      <c r="C22" s="11"/>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I22" s="45"/>
      <c r="AJ22" s="318"/>
      <c r="AM22" s="47" t="s">
        <v>858</v>
      </c>
      <c r="AN22" s="47"/>
      <c r="AO22" s="47"/>
      <c r="AP22" s="47"/>
      <c r="AQ22" s="47"/>
      <c r="AR22" s="336">
        <f t="shared" ref="AR22:BE22" si="7">SUM(AR15:AR21)</f>
        <v>3846.1999999999994</v>
      </c>
      <c r="AS22" s="336">
        <f t="shared" si="7"/>
        <v>2945.3</v>
      </c>
      <c r="AT22" s="837">
        <f t="shared" si="7"/>
        <v>4522.3999999999996</v>
      </c>
      <c r="AU22" s="837">
        <f t="shared" si="7"/>
        <v>4309</v>
      </c>
      <c r="AV22" s="336">
        <f t="shared" si="7"/>
        <v>6494.4</v>
      </c>
      <c r="AW22" s="336">
        <f t="shared" si="7"/>
        <v>5492.4</v>
      </c>
      <c r="AX22" s="837">
        <f t="shared" si="7"/>
        <v>5609.7999999999993</v>
      </c>
      <c r="AY22" s="837">
        <f t="shared" si="7"/>
        <v>5134.8999999999996</v>
      </c>
      <c r="AZ22" s="336">
        <f t="shared" si="7"/>
        <v>7192.1</v>
      </c>
      <c r="BA22" s="336">
        <f t="shared" si="7"/>
        <v>5496.6</v>
      </c>
      <c r="BB22" s="837">
        <f t="shared" si="7"/>
        <v>8183.2999999999993</v>
      </c>
      <c r="BC22" s="837">
        <f t="shared" si="7"/>
        <v>6786.5999999999995</v>
      </c>
      <c r="BD22" s="336">
        <f t="shared" si="7"/>
        <v>9496.6</v>
      </c>
      <c r="BE22" s="336">
        <f t="shared" si="7"/>
        <v>7668.6</v>
      </c>
    </row>
    <row r="23" spans="2:57">
      <c r="C23" s="11"/>
      <c r="D23" s="469"/>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I23" s="45">
        <v>2012</v>
      </c>
      <c r="AJ23" s="318">
        <v>15</v>
      </c>
      <c r="AM23" s="47"/>
      <c r="AN23" s="47"/>
      <c r="AO23" s="47"/>
      <c r="AP23" s="47"/>
      <c r="AQ23" s="47"/>
      <c r="AR23" s="336"/>
      <c r="AS23" s="336"/>
      <c r="AT23" s="837"/>
      <c r="AU23" s="837"/>
      <c r="AV23" s="336"/>
      <c r="AW23" s="336"/>
      <c r="AX23" s="837"/>
      <c r="AY23" s="837"/>
      <c r="AZ23" s="336"/>
      <c r="BA23" s="336"/>
      <c r="BB23" s="837"/>
      <c r="BC23" s="837"/>
      <c r="BD23" s="336"/>
      <c r="BE23" s="336"/>
    </row>
    <row r="24" spans="2:57">
      <c r="AI24" s="45">
        <v>2011</v>
      </c>
      <c r="AJ24" s="318">
        <v>1.8</v>
      </c>
      <c r="AM24" s="47" t="s">
        <v>1147</v>
      </c>
      <c r="AN24" s="47"/>
      <c r="AO24" s="47"/>
      <c r="AP24" s="47"/>
      <c r="AQ24" s="47"/>
      <c r="AR24" s="336">
        <f t="shared" ref="AR24:BE24" si="8">+AR13+AR22</f>
        <v>4629.2999999999993</v>
      </c>
      <c r="AS24" s="336">
        <f t="shared" si="8"/>
        <v>3656.3</v>
      </c>
      <c r="AT24" s="837">
        <f t="shared" si="8"/>
        <v>5223.0999999999995</v>
      </c>
      <c r="AU24" s="837">
        <f t="shared" si="8"/>
        <v>4863</v>
      </c>
      <c r="AV24" s="336">
        <f t="shared" si="8"/>
        <v>7200.9</v>
      </c>
      <c r="AW24" s="336">
        <f t="shared" si="8"/>
        <v>5984.5</v>
      </c>
      <c r="AX24" s="837">
        <f t="shared" si="8"/>
        <v>7151.2999999999993</v>
      </c>
      <c r="AY24" s="837">
        <f t="shared" si="8"/>
        <v>6439.5999999999995</v>
      </c>
      <c r="AZ24" s="336">
        <f t="shared" si="8"/>
        <v>8291.2000000000007</v>
      </c>
      <c r="BA24" s="336">
        <f t="shared" si="8"/>
        <v>6104</v>
      </c>
      <c r="BB24" s="837">
        <f t="shared" si="8"/>
        <v>9252.2999999999993</v>
      </c>
      <c r="BC24" s="837">
        <f t="shared" si="8"/>
        <v>7433.9</v>
      </c>
      <c r="BD24" s="336">
        <f t="shared" si="8"/>
        <v>10207.800000000001</v>
      </c>
      <c r="BE24" s="336">
        <f t="shared" si="8"/>
        <v>8037.3</v>
      </c>
    </row>
    <row r="25" spans="2:57">
      <c r="P25" t="s">
        <v>1404</v>
      </c>
      <c r="AM25" s="46" t="s">
        <v>1154</v>
      </c>
      <c r="AN25" s="46"/>
      <c r="AO25" s="46"/>
      <c r="AP25" s="46"/>
      <c r="AQ25" s="46"/>
      <c r="AR25" s="318">
        <f>+AR24-AS24</f>
        <v>972.99999999999909</v>
      </c>
      <c r="AS25" s="46"/>
      <c r="AT25" s="318">
        <f>+AT24-AU24</f>
        <v>360.09999999999945</v>
      </c>
      <c r="AU25" s="46"/>
      <c r="AV25" s="318">
        <f>+AV24-AW24</f>
        <v>1216.3999999999996</v>
      </c>
      <c r="AW25" s="46"/>
      <c r="AX25" s="318">
        <f>+AX24-AY24</f>
        <v>711.69999999999982</v>
      </c>
      <c r="AY25" s="46"/>
      <c r="AZ25" s="318">
        <f>+AZ24-BA24</f>
        <v>2187.2000000000007</v>
      </c>
      <c r="BA25" s="46"/>
      <c r="BB25" s="318">
        <f>+BB24-BC24</f>
        <v>1818.3999999999996</v>
      </c>
      <c r="BC25" s="46"/>
      <c r="BD25" s="318">
        <f>+BD24-BE24</f>
        <v>2170.5000000000009</v>
      </c>
      <c r="BE25" s="46"/>
    </row>
    <row r="26" spans="2:57" ht="19">
      <c r="C26" s="789" t="s">
        <v>1088</v>
      </c>
      <c r="AI26" s="45">
        <v>2010</v>
      </c>
      <c r="AJ26" s="318">
        <v>46</v>
      </c>
    </row>
    <row r="27" spans="2:57">
      <c r="C27" t="s">
        <v>1873</v>
      </c>
      <c r="P27" s="42"/>
      <c r="U27" s="42"/>
      <c r="V27" s="42"/>
      <c r="AA27" s="42"/>
      <c r="AB27" s="42"/>
      <c r="AI27">
        <f>3500/22.3</f>
        <v>156.9506726457399</v>
      </c>
      <c r="AM27" s="11" t="s">
        <v>1150</v>
      </c>
      <c r="AN27" s="11"/>
      <c r="AO27" s="11"/>
      <c r="AP27" s="11"/>
      <c r="AQ27" s="11"/>
    </row>
    <row r="28" spans="2:57">
      <c r="B28" s="11" t="s">
        <v>845</v>
      </c>
      <c r="D28" s="39">
        <v>2019</v>
      </c>
      <c r="E28" s="39">
        <v>2020</v>
      </c>
      <c r="F28" s="39">
        <v>2021</v>
      </c>
      <c r="G28" s="39" t="s">
        <v>164</v>
      </c>
      <c r="H28" s="42"/>
      <c r="I28" s="42"/>
      <c r="J28" s="42"/>
      <c r="K28" s="39">
        <v>2022</v>
      </c>
      <c r="L28" s="39" t="s">
        <v>1062</v>
      </c>
      <c r="M28" s="42"/>
      <c r="N28" s="42"/>
      <c r="O28" s="42"/>
      <c r="P28" s="39">
        <v>2023</v>
      </c>
      <c r="Q28" s="39" t="s">
        <v>1642</v>
      </c>
      <c r="R28" s="42"/>
      <c r="S28" s="42"/>
      <c r="T28" s="42"/>
      <c r="U28" s="39">
        <v>2024</v>
      </c>
      <c r="V28" s="42"/>
      <c r="W28" s="42"/>
      <c r="X28" s="42"/>
      <c r="Y28" s="42"/>
      <c r="AA28" s="42"/>
      <c r="AB28" s="42"/>
      <c r="AM28" s="47" t="s">
        <v>19</v>
      </c>
      <c r="AN28" s="318">
        <v>2406.6</v>
      </c>
      <c r="AO28" s="318">
        <v>1932.9</v>
      </c>
      <c r="AP28" s="318">
        <v>3267.3</v>
      </c>
      <c r="AQ28" s="318">
        <v>2633.5</v>
      </c>
      <c r="AR28" s="318">
        <f t="shared" ref="AR28:BE28" si="9">+AR16+AR18+AR19+AR20+AR21</f>
        <v>2025.6</v>
      </c>
      <c r="AS28" s="318">
        <f t="shared" si="9"/>
        <v>1886.5</v>
      </c>
      <c r="AT28" s="318">
        <f t="shared" si="9"/>
        <v>2673.7</v>
      </c>
      <c r="AU28" s="318">
        <f t="shared" si="9"/>
        <v>3093.2</v>
      </c>
      <c r="AV28" s="318">
        <f t="shared" si="9"/>
        <v>4022.9</v>
      </c>
      <c r="AW28" s="318">
        <f t="shared" si="9"/>
        <v>4005.1000000000004</v>
      </c>
      <c r="AX28" s="318">
        <f t="shared" si="9"/>
        <v>3270.1</v>
      </c>
      <c r="AY28" s="318">
        <f t="shared" si="9"/>
        <v>3708</v>
      </c>
      <c r="AZ28" s="318">
        <f t="shared" si="9"/>
        <v>4524.3</v>
      </c>
      <c r="BA28" s="318">
        <f t="shared" si="9"/>
        <v>4101.8</v>
      </c>
      <c r="BB28" s="318">
        <f t="shared" si="9"/>
        <v>5672.4</v>
      </c>
      <c r="BC28" s="318">
        <f t="shared" si="9"/>
        <v>5397.9</v>
      </c>
      <c r="BD28" s="318">
        <f t="shared" si="9"/>
        <v>6806.2999999999993</v>
      </c>
      <c r="BE28" s="318">
        <f t="shared" si="9"/>
        <v>6214.5</v>
      </c>
    </row>
    <row r="29" spans="2:57">
      <c r="B29" s="11"/>
      <c r="C29" s="46" t="s">
        <v>859</v>
      </c>
      <c r="D29" s="513">
        <v>0</v>
      </c>
      <c r="E29" s="513">
        <v>113</v>
      </c>
      <c r="F29" s="644">
        <v>0</v>
      </c>
      <c r="G29" s="644"/>
      <c r="H29" s="644"/>
      <c r="I29" s="644"/>
      <c r="J29" s="644"/>
      <c r="K29" s="644">
        <v>0</v>
      </c>
      <c r="L29" s="644"/>
      <c r="M29" s="644"/>
      <c r="N29" s="644"/>
      <c r="O29" s="644"/>
      <c r="P29" s="644">
        <v>0</v>
      </c>
      <c r="Q29" s="513"/>
      <c r="R29" s="513"/>
      <c r="S29" s="513"/>
      <c r="T29" s="513"/>
      <c r="U29" s="1740">
        <v>0</v>
      </c>
      <c r="V29" s="1773"/>
      <c r="W29" s="1116"/>
      <c r="X29" s="1116"/>
      <c r="Y29" s="1116"/>
      <c r="Z29" s="1116"/>
      <c r="AA29" s="1116"/>
      <c r="AB29" s="1116"/>
      <c r="AC29" s="62"/>
      <c r="AD29" s="62"/>
      <c r="AE29" s="62"/>
      <c r="AF29" s="62" t="s">
        <v>902</v>
      </c>
      <c r="AJ29" s="40" t="s">
        <v>927</v>
      </c>
      <c r="AM29" s="47" t="s">
        <v>1138</v>
      </c>
      <c r="AN29" s="318">
        <f>+AN28-AO28</f>
        <v>473.69999999999982</v>
      </c>
      <c r="AO29" s="318"/>
      <c r="AP29" s="318">
        <f>+AP28-AQ28</f>
        <v>633.80000000000018</v>
      </c>
      <c r="AQ29" s="318"/>
      <c r="AR29" s="318">
        <f>+AR28-AS28</f>
        <v>139.09999999999991</v>
      </c>
      <c r="AS29" s="46"/>
      <c r="AT29" s="318">
        <f>+AT28-AU28</f>
        <v>-419.5</v>
      </c>
      <c r="AU29" s="46"/>
      <c r="AV29" s="318">
        <f>+AV28-AW28</f>
        <v>17.799999999999727</v>
      </c>
      <c r="AW29" s="46"/>
      <c r="AX29" s="318">
        <f>+AX28-AY28</f>
        <v>-437.90000000000009</v>
      </c>
      <c r="AY29" s="46"/>
      <c r="AZ29" s="318">
        <f>+AZ28-BA28</f>
        <v>422.5</v>
      </c>
      <c r="BA29" s="46"/>
      <c r="BB29" s="318">
        <f>+BB28-BC28</f>
        <v>274.5</v>
      </c>
      <c r="BC29" s="46"/>
      <c r="BD29" s="318">
        <f>+BD28-BE28</f>
        <v>591.79999999999927</v>
      </c>
      <c r="BE29" s="46"/>
    </row>
    <row r="30" spans="2:57">
      <c r="C30" s="46" t="s">
        <v>846</v>
      </c>
      <c r="D30" s="318">
        <v>15.4</v>
      </c>
      <c r="E30" s="318">
        <v>5.8</v>
      </c>
      <c r="F30" s="318">
        <v>55.5</v>
      </c>
      <c r="G30" s="318">
        <v>1.3</v>
      </c>
      <c r="H30" s="318"/>
      <c r="I30" s="318"/>
      <c r="J30" s="318"/>
      <c r="K30" s="318">
        <v>53</v>
      </c>
      <c r="L30" s="318">
        <v>28.7</v>
      </c>
      <c r="M30" s="318"/>
      <c r="N30" s="318"/>
      <c r="O30" s="318"/>
      <c r="P30" s="318">
        <v>42.6</v>
      </c>
      <c r="Q30" s="318">
        <v>0</v>
      </c>
      <c r="R30" s="318"/>
      <c r="S30" s="318"/>
      <c r="T30" s="318"/>
      <c r="U30" s="1324">
        <v>0</v>
      </c>
      <c r="V30" s="1774"/>
      <c r="W30" s="53"/>
      <c r="X30" s="53"/>
      <c r="Y30" s="53"/>
      <c r="Z30" s="53"/>
      <c r="AA30" s="53"/>
      <c r="AB30" s="53"/>
      <c r="AF30" t="s">
        <v>903</v>
      </c>
      <c r="AJ30" s="51" t="s">
        <v>1068</v>
      </c>
      <c r="AM30" s="47" t="s">
        <v>1151</v>
      </c>
      <c r="AN30" s="47"/>
      <c r="AO30" s="47"/>
      <c r="AP30" s="318">
        <f>+AP29-AN29</f>
        <v>160.10000000000036</v>
      </c>
      <c r="AQ30" s="47"/>
      <c r="AR30" s="318">
        <f>+AR29-AP29</f>
        <v>-494.70000000000027</v>
      </c>
      <c r="AS30" s="46"/>
      <c r="AT30" s="318">
        <f>+AT29-AR29</f>
        <v>-558.59999999999991</v>
      </c>
      <c r="AU30" s="46"/>
      <c r="AV30" s="318">
        <f>+AV29-AT29</f>
        <v>437.29999999999973</v>
      </c>
      <c r="AW30" s="46"/>
      <c r="AX30" s="318">
        <f>+AX29-AV29</f>
        <v>-455.69999999999982</v>
      </c>
      <c r="AY30" s="46"/>
      <c r="AZ30" s="318">
        <f>+AZ29-AX29</f>
        <v>860.40000000000009</v>
      </c>
      <c r="BA30" s="46"/>
      <c r="BB30" s="318">
        <f>+BB29-AZ29</f>
        <v>-148</v>
      </c>
      <c r="BC30" s="46"/>
      <c r="BD30" s="318">
        <f>+BD29-BB29</f>
        <v>317.29999999999927</v>
      </c>
      <c r="BE30" s="46"/>
    </row>
    <row r="31" spans="2:57">
      <c r="C31" s="46" t="s">
        <v>59</v>
      </c>
      <c r="D31" s="318">
        <v>-7.6</v>
      </c>
      <c r="E31" s="318">
        <v>8.8000000000000007</v>
      </c>
      <c r="F31" s="318">
        <v>5.3</v>
      </c>
      <c r="G31" s="318">
        <v>-3.4</v>
      </c>
      <c r="H31" s="318"/>
      <c r="I31" s="318"/>
      <c r="J31" s="318"/>
      <c r="K31" s="318">
        <v>-11</v>
      </c>
      <c r="L31" s="318">
        <v>9.4</v>
      </c>
      <c r="M31" s="318"/>
      <c r="N31" s="318"/>
      <c r="O31" s="318"/>
      <c r="P31" s="318">
        <v>43.2</v>
      </c>
      <c r="Q31" s="318">
        <v>5.9</v>
      </c>
      <c r="R31" s="318"/>
      <c r="S31" s="318"/>
      <c r="T31" s="318"/>
      <c r="U31" s="647">
        <v>59.7</v>
      </c>
      <c r="V31" s="340"/>
      <c r="W31" s="53"/>
      <c r="X31" s="53"/>
      <c r="Y31" s="53"/>
      <c r="Z31" s="53"/>
      <c r="AA31" s="53"/>
      <c r="AB31" s="53"/>
      <c r="AJ31" s="41" t="s">
        <v>1069</v>
      </c>
      <c r="AM31" s="48" t="s">
        <v>1152</v>
      </c>
      <c r="AN31" s="122"/>
      <c r="AO31" s="122"/>
      <c r="AP31" s="122"/>
      <c r="AQ31" s="122"/>
      <c r="AR31" s="63"/>
      <c r="AS31" s="64">
        <f>+AT30+AV30+AX30+AZ30+BB30</f>
        <v>135.40000000000009</v>
      </c>
      <c r="AT31" s="28">
        <f>+AS31/5</f>
        <v>27.08000000000002</v>
      </c>
    </row>
    <row r="32" spans="2:57">
      <c r="C32" s="46" t="s">
        <v>62</v>
      </c>
      <c r="D32" s="318">
        <v>154.80000000000001</v>
      </c>
      <c r="E32" s="318">
        <v>6.1</v>
      </c>
      <c r="F32" s="318">
        <v>14.3</v>
      </c>
      <c r="G32" s="405"/>
      <c r="H32" s="405"/>
      <c r="I32" s="405"/>
      <c r="J32" s="405"/>
      <c r="K32" s="405">
        <v>0</v>
      </c>
      <c r="L32" s="405"/>
      <c r="M32" s="405"/>
      <c r="N32" s="405"/>
      <c r="O32" s="405"/>
      <c r="P32" s="405">
        <v>0</v>
      </c>
      <c r="Q32" s="318"/>
      <c r="R32" s="318"/>
      <c r="S32" s="318"/>
      <c r="T32" s="318"/>
      <c r="U32" s="1324">
        <v>0</v>
      </c>
      <c r="V32" s="1774"/>
      <c r="W32" s="53"/>
      <c r="X32" s="53"/>
      <c r="Y32" s="53"/>
      <c r="Z32" s="53"/>
      <c r="AA32" s="53"/>
      <c r="AB32" s="53"/>
      <c r="AF32" t="s">
        <v>896</v>
      </c>
      <c r="AJ32" s="39" t="s">
        <v>54</v>
      </c>
      <c r="AM32" s="48" t="s">
        <v>1153</v>
      </c>
      <c r="AN32" s="122"/>
      <c r="AO32" s="122"/>
      <c r="AP32" s="122"/>
      <c r="AQ32" s="122"/>
      <c r="AR32" s="63"/>
      <c r="AS32" s="64">
        <f>+AT30+AV30+AX30+AZ30+BB30+BD30</f>
        <v>452.69999999999936</v>
      </c>
      <c r="AT32" s="28">
        <f>+AS32/6</f>
        <v>75.449999999999889</v>
      </c>
    </row>
    <row r="33" spans="2:57">
      <c r="C33" s="46" t="s">
        <v>41</v>
      </c>
      <c r="D33" s="318">
        <f>-0.7-15.4</f>
        <v>-16.100000000000001</v>
      </c>
      <c r="E33" s="318">
        <f>-8.6-5.8</f>
        <v>-14.399999999999999</v>
      </c>
      <c r="F33" s="318">
        <f>11.8-14.3</f>
        <v>-2.5</v>
      </c>
      <c r="G33" s="318">
        <v>-3.2</v>
      </c>
      <c r="H33" s="318"/>
      <c r="I33" s="318"/>
      <c r="J33" s="318"/>
      <c r="K33" s="318">
        <v>-11.6</v>
      </c>
      <c r="L33" s="318">
        <v>0.1</v>
      </c>
      <c r="M33" s="318"/>
      <c r="N33" s="318"/>
      <c r="O33" s="318"/>
      <c r="P33" s="318">
        <v>-5.0999999999999996</v>
      </c>
      <c r="Q33" s="318">
        <v>-5.0999999999999996</v>
      </c>
      <c r="R33" s="318"/>
      <c r="S33" s="318"/>
      <c r="T33" s="318"/>
      <c r="U33" s="647">
        <v>-2</v>
      </c>
      <c r="V33" s="340"/>
      <c r="W33" s="53"/>
      <c r="X33" s="53"/>
      <c r="Y33" s="53"/>
      <c r="Z33" s="53"/>
      <c r="AA33" s="53"/>
      <c r="AB33" s="53"/>
      <c r="AI33" s="45">
        <v>2022</v>
      </c>
      <c r="AJ33" s="324">
        <f>+AJ9</f>
        <v>1015</v>
      </c>
    </row>
    <row r="34" spans="2:57" s="11" customFormat="1">
      <c r="C34" s="47" t="s">
        <v>19</v>
      </c>
      <c r="D34" s="336">
        <f>SUM(D29:D33)</f>
        <v>146.50000000000003</v>
      </c>
      <c r="E34" s="336">
        <f>SUM(E29:E33)</f>
        <v>119.29999999999998</v>
      </c>
      <c r="F34" s="336">
        <f>SUM(F29:F33)</f>
        <v>72.599999999999994</v>
      </c>
      <c r="G34" s="336">
        <f>SUM(G29:G33)</f>
        <v>-5.3</v>
      </c>
      <c r="H34" s="336"/>
      <c r="I34" s="336"/>
      <c r="J34" s="336"/>
      <c r="K34" s="336">
        <f>SUM(K29:K33)</f>
        <v>30.4</v>
      </c>
      <c r="L34" s="336">
        <f>SUM(L29:L33)</f>
        <v>38.200000000000003</v>
      </c>
      <c r="M34" s="336"/>
      <c r="N34" s="336"/>
      <c r="O34" s="336"/>
      <c r="P34" s="336">
        <f>SUM(P29:P33)</f>
        <v>80.700000000000017</v>
      </c>
      <c r="Q34" s="336">
        <f>SUM(Q29:Q33)</f>
        <v>0.80000000000000071</v>
      </c>
      <c r="R34" s="336"/>
      <c r="S34" s="336"/>
      <c r="T34" s="336"/>
      <c r="U34" s="1100">
        <f>SUM(U29:U33)</f>
        <v>57.7</v>
      </c>
      <c r="V34" s="1747"/>
      <c r="W34" s="469"/>
      <c r="X34" s="469"/>
      <c r="Y34" s="469"/>
      <c r="Z34" s="469"/>
      <c r="AA34" s="469"/>
      <c r="AB34" s="469"/>
      <c r="AI34" s="763">
        <v>2023</v>
      </c>
      <c r="AJ34" s="768">
        <f>+AJ8</f>
        <v>1022</v>
      </c>
      <c r="AM34"/>
      <c r="AN34"/>
      <c r="AO34"/>
      <c r="AP34"/>
      <c r="AQ34"/>
      <c r="AR34"/>
      <c r="AS34"/>
      <c r="AT34"/>
      <c r="AU34"/>
      <c r="AV34"/>
      <c r="AW34"/>
      <c r="AX34"/>
      <c r="AY34"/>
      <c r="AZ34"/>
      <c r="BA34"/>
      <c r="BB34"/>
      <c r="BC34"/>
      <c r="BD34"/>
      <c r="BE34"/>
    </row>
    <row r="35" spans="2:57" ht="16" customHeight="1">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I35" s="746">
        <v>2024</v>
      </c>
      <c r="AJ35" s="769">
        <f>+AJ7</f>
        <v>956</v>
      </c>
      <c r="AT35" s="53">
        <f>+AT30</f>
        <v>-558.59999999999991</v>
      </c>
      <c r="AU35" s="53">
        <f>+AV30</f>
        <v>437.29999999999973</v>
      </c>
      <c r="AV35" s="53">
        <f>+AX30</f>
        <v>-455.69999999999982</v>
      </c>
      <c r="AW35" s="53">
        <f>+AZ30</f>
        <v>860.40000000000009</v>
      </c>
      <c r="AX35" s="53">
        <f>+BB30</f>
        <v>-148</v>
      </c>
      <c r="AY35" s="53">
        <f>+BD30</f>
        <v>317.29999999999927</v>
      </c>
      <c r="BD35" s="53">
        <f>+BD25-BB25</f>
        <v>352.10000000000127</v>
      </c>
    </row>
    <row r="36" spans="2:57">
      <c r="B36" s="11" t="s">
        <v>331</v>
      </c>
      <c r="D36" s="469"/>
      <c r="E36" s="469"/>
      <c r="F36" s="469"/>
      <c r="G36" s="469"/>
      <c r="H36" s="469"/>
      <c r="I36" s="469"/>
      <c r="J36" s="469"/>
      <c r="K36" s="469"/>
      <c r="L36" s="469"/>
      <c r="M36" s="469"/>
      <c r="N36" s="469"/>
      <c r="O36" s="469"/>
      <c r="P36" s="469"/>
      <c r="Q36" s="469"/>
      <c r="R36" s="469"/>
      <c r="S36" s="469"/>
      <c r="T36" s="469"/>
      <c r="U36" s="469"/>
      <c r="V36" s="469"/>
      <c r="W36" s="469"/>
      <c r="X36" s="469"/>
      <c r="Y36" s="469"/>
      <c r="Z36" s="469"/>
      <c r="AA36" s="469"/>
      <c r="AB36" s="469"/>
      <c r="AI36" s="742">
        <v>2025</v>
      </c>
      <c r="AJ36" s="770">
        <f>+AJ6</f>
        <v>950</v>
      </c>
    </row>
    <row r="37" spans="2:57">
      <c r="B37" s="11" t="s">
        <v>847</v>
      </c>
      <c r="D37" s="53"/>
      <c r="E37" s="53"/>
      <c r="F37" s="53"/>
      <c r="G37" s="53"/>
      <c r="H37" s="53"/>
      <c r="I37" s="53"/>
      <c r="J37" s="53"/>
      <c r="K37" s="53"/>
      <c r="L37" s="53"/>
      <c r="M37" s="53"/>
      <c r="N37" s="53"/>
      <c r="O37" s="53"/>
      <c r="P37" s="53"/>
      <c r="Q37" s="53"/>
      <c r="R37" s="53"/>
      <c r="S37" s="53"/>
      <c r="T37" s="53"/>
      <c r="U37" s="53"/>
      <c r="V37" s="53"/>
      <c r="W37" s="53"/>
      <c r="X37" s="53"/>
      <c r="Y37" s="53"/>
      <c r="Z37" s="53"/>
      <c r="AA37" s="53"/>
      <c r="AB37" s="53"/>
    </row>
    <row r="38" spans="2:57">
      <c r="C38" s="46" t="s">
        <v>220</v>
      </c>
      <c r="D38" s="318">
        <v>198.9</v>
      </c>
      <c r="E38" s="318">
        <v>19.899999999999999</v>
      </c>
      <c r="F38" s="318">
        <v>40.6</v>
      </c>
      <c r="G38" s="318"/>
      <c r="H38" s="318"/>
      <c r="I38" s="318"/>
      <c r="J38" s="318"/>
      <c r="K38" s="318">
        <v>36.5</v>
      </c>
      <c r="L38" s="318"/>
      <c r="M38" s="318"/>
      <c r="N38" s="318"/>
      <c r="O38" s="318"/>
      <c r="P38" s="318">
        <v>45.1</v>
      </c>
      <c r="Q38" s="318"/>
      <c r="R38" s="318"/>
      <c r="S38" s="318"/>
      <c r="T38" s="318"/>
      <c r="U38" s="647">
        <v>0</v>
      </c>
      <c r="V38" s="340"/>
      <c r="W38" s="53"/>
      <c r="X38" s="53"/>
      <c r="Y38" s="53"/>
      <c r="Z38" s="53"/>
      <c r="AA38" s="53"/>
      <c r="AB38" s="53"/>
    </row>
    <row r="39" spans="2:57">
      <c r="C39" s="46" t="s">
        <v>53</v>
      </c>
      <c r="D39" s="318">
        <v>-4</v>
      </c>
      <c r="E39" s="318">
        <v>14.1</v>
      </c>
      <c r="F39" s="318">
        <v>27.6</v>
      </c>
      <c r="G39" s="318"/>
      <c r="H39" s="318"/>
      <c r="I39" s="318"/>
      <c r="J39" s="318"/>
      <c r="K39" s="318">
        <v>40.799999999999997</v>
      </c>
      <c r="L39" s="318"/>
      <c r="M39" s="318"/>
      <c r="N39" s="318"/>
      <c r="O39" s="318"/>
      <c r="P39" s="318">
        <v>35.4</v>
      </c>
      <c r="Q39" s="318"/>
      <c r="R39" s="318"/>
      <c r="S39" s="318"/>
      <c r="T39" s="318"/>
      <c r="U39" s="647">
        <v>24.9</v>
      </c>
      <c r="V39" s="340"/>
      <c r="W39" s="53"/>
      <c r="X39" s="53"/>
      <c r="Y39" s="53"/>
      <c r="Z39" s="53"/>
      <c r="AA39" s="53"/>
      <c r="AB39" s="53"/>
    </row>
    <row r="40" spans="2:57">
      <c r="C40" s="46" t="s">
        <v>848</v>
      </c>
      <c r="D40" s="318">
        <v>1.6</v>
      </c>
      <c r="E40" s="318">
        <v>9.8000000000000007</v>
      </c>
      <c r="F40" s="318">
        <v>14</v>
      </c>
      <c r="G40" s="318"/>
      <c r="H40" s="318"/>
      <c r="I40" s="318"/>
      <c r="J40" s="318"/>
      <c r="K40" s="318">
        <v>14.6</v>
      </c>
      <c r="L40" s="318"/>
      <c r="M40" s="318"/>
      <c r="N40" s="318"/>
      <c r="O40" s="318"/>
      <c r="P40" s="318">
        <v>12.4</v>
      </c>
      <c r="Q40" s="318"/>
      <c r="R40" s="318"/>
      <c r="S40" s="318"/>
      <c r="T40" s="318"/>
      <c r="U40" s="647">
        <v>26.1</v>
      </c>
      <c r="V40" s="340"/>
      <c r="W40" s="53"/>
      <c r="X40" s="53"/>
      <c r="Y40" s="53"/>
      <c r="Z40" s="53"/>
      <c r="AA40" s="53"/>
      <c r="AB40" s="53"/>
    </row>
    <row r="41" spans="2:57">
      <c r="C41" s="46" t="s">
        <v>12</v>
      </c>
      <c r="D41" s="318">
        <v>3</v>
      </c>
      <c r="E41" s="318">
        <v>17.8</v>
      </c>
      <c r="F41" s="318">
        <v>-0.5</v>
      </c>
      <c r="G41" s="318"/>
      <c r="H41" s="318"/>
      <c r="I41" s="318"/>
      <c r="J41" s="318"/>
      <c r="K41" s="318">
        <v>9.8000000000000007</v>
      </c>
      <c r="L41" s="318"/>
      <c r="M41" s="318"/>
      <c r="N41" s="318"/>
      <c r="O41" s="318"/>
      <c r="P41" s="318">
        <v>42.6</v>
      </c>
      <c r="Q41" s="318"/>
      <c r="R41" s="318"/>
      <c r="S41" s="318"/>
      <c r="T41" s="318"/>
      <c r="U41" s="647">
        <v>34.4</v>
      </c>
      <c r="V41" s="340"/>
      <c r="W41" s="53"/>
      <c r="X41" s="53"/>
      <c r="Y41" s="53"/>
      <c r="Z41" s="53"/>
      <c r="AA41" s="53"/>
      <c r="AB41" s="53"/>
    </row>
    <row r="42" spans="2:57">
      <c r="C42" s="46" t="s">
        <v>4</v>
      </c>
      <c r="D42" s="318">
        <v>-183.2</v>
      </c>
      <c r="E42" s="318">
        <v>-124.6</v>
      </c>
      <c r="F42" s="318">
        <v>-1.4</v>
      </c>
      <c r="G42" s="318">
        <v>2.5</v>
      </c>
      <c r="H42" s="318"/>
      <c r="I42" s="318"/>
      <c r="J42" s="318"/>
      <c r="K42" s="318">
        <v>6.8</v>
      </c>
      <c r="L42" s="318">
        <v>2.2999999999999998</v>
      </c>
      <c r="M42" s="318"/>
      <c r="N42" s="318"/>
      <c r="O42" s="318"/>
      <c r="P42" s="318">
        <v>-47</v>
      </c>
      <c r="Q42" s="318">
        <v>1.7</v>
      </c>
      <c r="R42" s="318"/>
      <c r="S42" s="318"/>
      <c r="T42" s="318"/>
      <c r="U42" s="647">
        <v>10.4</v>
      </c>
      <c r="V42" s="340"/>
      <c r="W42" s="53"/>
      <c r="X42" s="53"/>
      <c r="Y42" s="53"/>
      <c r="Z42" s="53"/>
      <c r="AA42" s="53"/>
      <c r="AB42" s="53"/>
      <c r="AM42" s="11"/>
      <c r="AN42" s="11"/>
      <c r="AO42" s="11"/>
      <c r="AP42" s="11"/>
      <c r="AQ42" s="11"/>
      <c r="AR42" s="11"/>
      <c r="AS42" s="11"/>
      <c r="AT42" s="11"/>
      <c r="AU42" s="11"/>
      <c r="AV42" s="11"/>
      <c r="AW42" s="11"/>
      <c r="AX42" s="11"/>
    </row>
    <row r="43" spans="2:57">
      <c r="C43" s="46" t="s">
        <v>11</v>
      </c>
      <c r="D43" s="318">
        <v>0</v>
      </c>
      <c r="E43" s="318">
        <v>-48.6</v>
      </c>
      <c r="F43" s="318">
        <v>-2.4</v>
      </c>
      <c r="G43" s="318"/>
      <c r="H43" s="318"/>
      <c r="I43" s="318"/>
      <c r="J43" s="318"/>
      <c r="K43" s="318">
        <v>36.4</v>
      </c>
      <c r="L43" s="318"/>
      <c r="M43" s="318"/>
      <c r="N43" s="318"/>
      <c r="O43" s="318"/>
      <c r="P43" s="318">
        <v>0.6</v>
      </c>
      <c r="Q43" s="318"/>
      <c r="R43" s="318"/>
      <c r="S43" s="318"/>
      <c r="T43" s="318"/>
      <c r="U43" s="647">
        <v>-72.7</v>
      </c>
      <c r="V43" s="340"/>
      <c r="W43" s="53"/>
      <c r="X43" s="53"/>
      <c r="Y43" s="53"/>
      <c r="Z43" s="53"/>
      <c r="AA43" s="53"/>
      <c r="AB43" s="53"/>
    </row>
    <row r="44" spans="2:57">
      <c r="C44" s="46" t="s">
        <v>849</v>
      </c>
      <c r="D44" s="318">
        <v>30.8</v>
      </c>
      <c r="E44" s="318">
        <v>-30.5</v>
      </c>
      <c r="F44" s="318">
        <v>-45.8</v>
      </c>
      <c r="G44" s="318"/>
      <c r="H44" s="318"/>
      <c r="I44" s="318"/>
      <c r="J44" s="318"/>
      <c r="K44" s="318">
        <v>-5.7</v>
      </c>
      <c r="L44" s="318"/>
      <c r="M44" s="318"/>
      <c r="N44" s="318"/>
      <c r="O44" s="318"/>
      <c r="P44" s="318">
        <v>16</v>
      </c>
      <c r="Q44" s="318"/>
      <c r="R44" s="318"/>
      <c r="S44" s="318"/>
      <c r="T44" s="318"/>
      <c r="U44" s="647">
        <v>27.4</v>
      </c>
      <c r="V44" s="340"/>
      <c r="W44" s="53"/>
      <c r="X44" s="53"/>
      <c r="Y44" s="53"/>
      <c r="Z44" s="53"/>
      <c r="AA44" s="53"/>
      <c r="AB44" s="53"/>
    </row>
    <row r="45" spans="2:57">
      <c r="C45" s="46" t="s">
        <v>41</v>
      </c>
      <c r="D45" s="318">
        <v>-0.3</v>
      </c>
      <c r="E45" s="318">
        <v>0.1</v>
      </c>
      <c r="F45" s="318">
        <v>0.5</v>
      </c>
      <c r="G45" s="318">
        <v>34.6</v>
      </c>
      <c r="H45" s="318"/>
      <c r="I45" s="318"/>
      <c r="J45" s="318"/>
      <c r="K45" s="318">
        <v>3.3</v>
      </c>
      <c r="L45" s="318">
        <v>52.7</v>
      </c>
      <c r="M45" s="318"/>
      <c r="N45" s="318"/>
      <c r="O45" s="318"/>
      <c r="P45" s="318">
        <v>1.8</v>
      </c>
      <c r="Q45" s="318">
        <v>3.2</v>
      </c>
      <c r="R45" s="318"/>
      <c r="S45" s="318"/>
      <c r="T45" s="318"/>
      <c r="U45" s="647">
        <v>1.9</v>
      </c>
      <c r="V45" s="340"/>
      <c r="W45" s="53"/>
      <c r="X45" s="53"/>
      <c r="Y45" s="53"/>
      <c r="Z45" s="53"/>
      <c r="AA45" s="53"/>
      <c r="AB45" s="53"/>
    </row>
    <row r="46" spans="2:57" s="11" customFormat="1">
      <c r="C46" s="47" t="s">
        <v>850</v>
      </c>
      <c r="D46" s="336">
        <f>SUM(D38:D45)</f>
        <v>46.800000000000011</v>
      </c>
      <c r="E46" s="336">
        <f>SUM(E38:E45)</f>
        <v>-142</v>
      </c>
      <c r="F46" s="336">
        <f>SUM(F38:F45)</f>
        <v>32.599999999999994</v>
      </c>
      <c r="G46" s="336">
        <f>SUM(G38:G45)</f>
        <v>37.1</v>
      </c>
      <c r="H46" s="336"/>
      <c r="I46" s="336"/>
      <c r="J46" s="336"/>
      <c r="K46" s="336">
        <f>SUM(K38:K45)</f>
        <v>142.5</v>
      </c>
      <c r="L46" s="336">
        <f>SUM(L38:L45)</f>
        <v>55</v>
      </c>
      <c r="M46" s="336"/>
      <c r="N46" s="336"/>
      <c r="O46" s="336"/>
      <c r="P46" s="336">
        <f>SUM(P38:P45)</f>
        <v>106.89999999999999</v>
      </c>
      <c r="Q46" s="336">
        <f>SUM(Q38:Q45)</f>
        <v>4.9000000000000004</v>
      </c>
      <c r="R46" s="336"/>
      <c r="S46" s="336"/>
      <c r="T46" s="336"/>
      <c r="U46" s="1100">
        <f>SUM(U38:U45)</f>
        <v>52.400000000000006</v>
      </c>
      <c r="V46" s="1747"/>
      <c r="W46" s="469"/>
      <c r="X46" s="469"/>
      <c r="Y46" s="469"/>
      <c r="Z46" s="469"/>
      <c r="AA46" s="469"/>
      <c r="AB46" s="469"/>
    </row>
    <row r="47" spans="2:57" ht="7" customHeight="1">
      <c r="D47" s="53"/>
      <c r="E47" s="53"/>
      <c r="F47" s="53"/>
      <c r="G47" s="53"/>
      <c r="H47" s="53"/>
      <c r="I47" s="53"/>
      <c r="J47" s="53"/>
      <c r="K47" s="53"/>
      <c r="L47" s="53"/>
      <c r="M47" s="53"/>
      <c r="N47" s="53"/>
      <c r="O47" s="53"/>
      <c r="P47" s="53"/>
      <c r="Q47" s="53"/>
      <c r="R47" s="53"/>
      <c r="S47" s="53"/>
      <c r="T47" s="53"/>
      <c r="U47" s="53"/>
      <c r="V47" s="53"/>
      <c r="W47" s="53"/>
      <c r="X47" s="53"/>
      <c r="Y47" s="53"/>
      <c r="Z47" s="53"/>
      <c r="AA47" s="53"/>
      <c r="AB47" s="53"/>
    </row>
    <row r="48" spans="2:57">
      <c r="B48" s="11" t="s">
        <v>851</v>
      </c>
      <c r="D48" s="53"/>
      <c r="E48" s="53"/>
      <c r="F48" s="53"/>
      <c r="G48" s="53"/>
      <c r="H48" s="53"/>
      <c r="I48" s="53"/>
      <c r="J48" s="53"/>
      <c r="K48" s="53"/>
      <c r="L48" s="53"/>
      <c r="M48" s="53"/>
      <c r="N48" s="53"/>
      <c r="O48" s="53"/>
      <c r="P48" s="53"/>
      <c r="Q48" s="53"/>
      <c r="R48" s="53"/>
      <c r="S48" s="53"/>
      <c r="T48" s="53"/>
      <c r="U48" s="53"/>
      <c r="V48" s="53"/>
      <c r="W48" s="53"/>
      <c r="X48" s="53"/>
      <c r="Y48" s="53"/>
      <c r="Z48" s="53"/>
      <c r="AA48" s="53"/>
      <c r="AB48" s="53"/>
    </row>
    <row r="49" spans="2:32">
      <c r="C49" s="46" t="s">
        <v>852</v>
      </c>
      <c r="D49" s="318">
        <v>49.8</v>
      </c>
      <c r="E49" s="318">
        <v>-17.899999999999999</v>
      </c>
      <c r="F49" s="318">
        <v>-9</v>
      </c>
      <c r="G49" s="318"/>
      <c r="H49" s="318"/>
      <c r="I49" s="318"/>
      <c r="J49" s="318"/>
      <c r="K49" s="318">
        <v>16.5</v>
      </c>
      <c r="L49" s="318"/>
      <c r="M49" s="318"/>
      <c r="N49" s="318"/>
      <c r="O49" s="318"/>
      <c r="P49" s="318">
        <v>6.4</v>
      </c>
      <c r="Q49" s="318"/>
      <c r="R49" s="318"/>
      <c r="S49" s="318"/>
      <c r="T49" s="318"/>
      <c r="U49" s="647">
        <v>7.8</v>
      </c>
      <c r="V49" s="340"/>
      <c r="W49" s="53"/>
      <c r="X49" s="53"/>
      <c r="Y49" s="53"/>
      <c r="Z49" s="53"/>
      <c r="AA49" s="53"/>
      <c r="AB49" s="53"/>
    </row>
    <row r="50" spans="2:32">
      <c r="C50" s="46" t="s">
        <v>41</v>
      </c>
      <c r="D50" s="318">
        <v>-5.8</v>
      </c>
      <c r="E50" s="318">
        <v>-0.2</v>
      </c>
      <c r="F50" s="318">
        <v>-1.7</v>
      </c>
      <c r="G50" s="318"/>
      <c r="H50" s="318"/>
      <c r="I50" s="318"/>
      <c r="J50" s="318"/>
      <c r="K50" s="318">
        <v>2.8</v>
      </c>
      <c r="L50" s="318"/>
      <c r="M50" s="318"/>
      <c r="N50" s="318"/>
      <c r="O50" s="318"/>
      <c r="P50" s="318">
        <v>-13.8</v>
      </c>
      <c r="Q50" s="318"/>
      <c r="R50" s="318"/>
      <c r="S50" s="318"/>
      <c r="T50" s="318"/>
      <c r="U50" s="647">
        <v>-17.5</v>
      </c>
      <c r="V50" s="340"/>
      <c r="W50" s="53"/>
      <c r="X50" s="53"/>
      <c r="Y50" s="53"/>
      <c r="Z50" s="53"/>
      <c r="AA50" s="53"/>
      <c r="AB50" s="53"/>
    </row>
    <row r="51" spans="2:32" s="11" customFormat="1">
      <c r="C51" s="47" t="s">
        <v>853</v>
      </c>
      <c r="D51" s="336">
        <f t="shared" ref="D51:K51" si="10">SUM(D49:D50)</f>
        <v>44</v>
      </c>
      <c r="E51" s="336">
        <f t="shared" si="10"/>
        <v>-18.099999999999998</v>
      </c>
      <c r="F51" s="336">
        <f t="shared" si="10"/>
        <v>-10.7</v>
      </c>
      <c r="G51" s="336"/>
      <c r="H51" s="336"/>
      <c r="I51" s="336"/>
      <c r="J51" s="336"/>
      <c r="K51" s="336">
        <f t="shared" si="10"/>
        <v>19.3</v>
      </c>
      <c r="L51" s="336"/>
      <c r="M51" s="336"/>
      <c r="N51" s="336"/>
      <c r="O51" s="336"/>
      <c r="P51" s="336">
        <f>SUM(P49:P50)</f>
        <v>-7.4</v>
      </c>
      <c r="Q51" s="336"/>
      <c r="R51" s="336"/>
      <c r="S51" s="336"/>
      <c r="T51" s="336"/>
      <c r="U51" s="1100">
        <f>SUM(U49:U50)</f>
        <v>-9.6999999999999993</v>
      </c>
      <c r="V51" s="1747"/>
      <c r="W51" s="469"/>
      <c r="X51" s="469"/>
      <c r="Y51" s="469"/>
      <c r="Z51" s="469"/>
      <c r="AA51" s="469"/>
      <c r="AB51" s="469"/>
    </row>
    <row r="52" spans="2:32" ht="7" customHeight="1">
      <c r="D52" s="53"/>
      <c r="E52" s="53"/>
      <c r="F52" s="53"/>
      <c r="G52" s="53"/>
      <c r="H52" s="53"/>
      <c r="I52" s="53"/>
      <c r="J52" s="53"/>
      <c r="K52" s="53"/>
      <c r="L52" s="53"/>
      <c r="M52" s="53"/>
      <c r="N52" s="53"/>
      <c r="O52" s="53"/>
      <c r="P52" s="53"/>
      <c r="Q52" s="53"/>
      <c r="R52" s="53"/>
      <c r="S52" s="53"/>
      <c r="T52" s="53"/>
      <c r="U52" s="53"/>
      <c r="V52" s="53"/>
      <c r="W52" s="53"/>
      <c r="X52" s="53"/>
      <c r="Y52" s="53"/>
      <c r="Z52" s="53"/>
      <c r="AA52" s="53"/>
      <c r="AB52" s="53"/>
    </row>
    <row r="53" spans="2:32">
      <c r="B53" s="11" t="s">
        <v>41</v>
      </c>
      <c r="D53" s="53"/>
      <c r="E53" s="53"/>
      <c r="F53" s="53"/>
      <c r="G53" s="53"/>
      <c r="H53" s="53"/>
      <c r="I53" s="53"/>
      <c r="J53" s="53"/>
      <c r="K53" s="53"/>
      <c r="L53" s="53"/>
      <c r="M53" s="53"/>
      <c r="N53" s="53"/>
      <c r="O53" s="53"/>
      <c r="P53" s="53"/>
      <c r="Q53" s="53"/>
      <c r="R53" s="53"/>
      <c r="S53" s="53"/>
      <c r="T53" s="53"/>
      <c r="U53" s="53"/>
      <c r="V53" s="53"/>
      <c r="W53" s="53"/>
      <c r="X53" s="53"/>
      <c r="Y53" s="53"/>
      <c r="Z53" s="53"/>
      <c r="AA53" s="53"/>
      <c r="AB53" s="53"/>
    </row>
    <row r="54" spans="2:32">
      <c r="C54" s="46" t="s">
        <v>2</v>
      </c>
      <c r="D54" s="405">
        <v>0</v>
      </c>
      <c r="E54" s="318">
        <v>-11.9</v>
      </c>
      <c r="F54" s="318">
        <v>162.30000000000001</v>
      </c>
      <c r="G54" s="318">
        <v>30.7</v>
      </c>
      <c r="H54" s="318"/>
      <c r="I54" s="318"/>
      <c r="J54" s="318"/>
      <c r="K54" s="318">
        <v>263</v>
      </c>
      <c r="L54" s="318">
        <v>94.6</v>
      </c>
      <c r="M54" s="318"/>
      <c r="N54" s="318"/>
      <c r="O54" s="318"/>
      <c r="P54" s="318">
        <v>437.7</v>
      </c>
      <c r="Q54" s="318">
        <v>79.3</v>
      </c>
      <c r="R54" s="318"/>
      <c r="S54" s="318"/>
      <c r="T54" s="318"/>
      <c r="U54" s="647">
        <v>515</v>
      </c>
      <c r="V54" s="340"/>
      <c r="W54" s="53"/>
      <c r="X54" s="53"/>
      <c r="Y54" s="53"/>
      <c r="Z54" s="53"/>
      <c r="AA54" s="53"/>
      <c r="AB54" s="53"/>
      <c r="AF54" t="s">
        <v>897</v>
      </c>
    </row>
    <row r="55" spans="2:32">
      <c r="C55" s="46" t="s">
        <v>855</v>
      </c>
      <c r="D55" s="318">
        <v>83.8</v>
      </c>
      <c r="E55" s="318">
        <v>116.4</v>
      </c>
      <c r="F55" s="318">
        <v>69.5</v>
      </c>
      <c r="G55" s="318">
        <v>49.7</v>
      </c>
      <c r="H55" s="318"/>
      <c r="I55" s="318"/>
      <c r="J55" s="318"/>
      <c r="K55" s="318">
        <v>258.2</v>
      </c>
      <c r="L55" s="318">
        <v>50.1</v>
      </c>
      <c r="M55" s="318"/>
      <c r="N55" s="318"/>
      <c r="O55" s="318"/>
      <c r="P55" s="318">
        <v>149.6</v>
      </c>
      <c r="Q55" s="318">
        <v>34.799999999999997</v>
      </c>
      <c r="R55" s="318"/>
      <c r="S55" s="318"/>
      <c r="T55" s="318"/>
      <c r="U55" s="647">
        <v>212.6</v>
      </c>
      <c r="V55" s="340"/>
      <c r="W55" s="53"/>
      <c r="X55" s="53"/>
      <c r="Y55" s="53"/>
      <c r="Z55" s="53"/>
      <c r="AA55" s="53"/>
      <c r="AB55" s="53"/>
      <c r="AF55" t="s">
        <v>898</v>
      </c>
    </row>
    <row r="56" spans="2:32">
      <c r="C56" s="46" t="s">
        <v>128</v>
      </c>
      <c r="D56" s="318">
        <v>21.6</v>
      </c>
      <c r="E56" s="318">
        <v>-4.5999999999999996</v>
      </c>
      <c r="F56" s="318">
        <v>-41.2</v>
      </c>
      <c r="G56" s="318">
        <v>38</v>
      </c>
      <c r="H56" s="318"/>
      <c r="I56" s="318"/>
      <c r="J56" s="318"/>
      <c r="K56" s="318">
        <v>81.900000000000006</v>
      </c>
      <c r="L56" s="318">
        <v>69.2</v>
      </c>
      <c r="M56" s="318"/>
      <c r="N56" s="318"/>
      <c r="O56" s="318"/>
      <c r="P56" s="318">
        <v>129.1</v>
      </c>
      <c r="Q56" s="318">
        <v>36</v>
      </c>
      <c r="R56" s="318"/>
      <c r="S56" s="318"/>
      <c r="T56" s="318"/>
      <c r="U56" s="647">
        <v>39.6</v>
      </c>
      <c r="V56" s="340"/>
      <c r="W56" s="53"/>
      <c r="X56" s="53"/>
      <c r="Y56" s="53"/>
      <c r="Z56" s="53"/>
      <c r="AA56" s="53"/>
      <c r="AB56" s="53"/>
    </row>
    <row r="57" spans="2:32">
      <c r="C57" s="46" t="s">
        <v>854</v>
      </c>
      <c r="D57" s="318">
        <v>-4.9000000000000004</v>
      </c>
      <c r="E57" s="318">
        <v>-57</v>
      </c>
      <c r="F57" s="318">
        <v>75.900000000000006</v>
      </c>
      <c r="G57" s="318"/>
      <c r="H57" s="318"/>
      <c r="I57" s="318"/>
      <c r="J57" s="318"/>
      <c r="K57" s="318">
        <v>159</v>
      </c>
      <c r="L57" s="318"/>
      <c r="M57" s="318"/>
      <c r="N57" s="318"/>
      <c r="O57" s="318"/>
      <c r="P57" s="405">
        <v>0</v>
      </c>
      <c r="Q57" s="318"/>
      <c r="R57" s="318"/>
      <c r="S57" s="318"/>
      <c r="T57" s="318"/>
      <c r="U57" s="1324">
        <v>0</v>
      </c>
      <c r="V57" s="1774"/>
      <c r="W57" s="53"/>
      <c r="X57" s="53"/>
      <c r="Y57" s="53"/>
      <c r="Z57" s="53"/>
      <c r="AA57" s="53"/>
      <c r="AB57" s="53"/>
      <c r="AF57" t="s">
        <v>899</v>
      </c>
    </row>
    <row r="58" spans="2:32">
      <c r="C58" s="46" t="s">
        <v>7</v>
      </c>
      <c r="D58" s="405">
        <v>0</v>
      </c>
      <c r="E58" s="405">
        <v>0</v>
      </c>
      <c r="F58" s="405">
        <v>0</v>
      </c>
      <c r="G58" s="318">
        <v>0</v>
      </c>
      <c r="H58" s="318"/>
      <c r="I58" s="318"/>
      <c r="J58" s="318"/>
      <c r="K58" s="405">
        <v>0</v>
      </c>
      <c r="L58" s="318">
        <v>4</v>
      </c>
      <c r="M58" s="318"/>
      <c r="N58" s="318"/>
      <c r="O58" s="318"/>
      <c r="P58" s="318">
        <v>23.7</v>
      </c>
      <c r="Q58" s="318">
        <v>-4.4000000000000004</v>
      </c>
      <c r="R58" s="318"/>
      <c r="S58" s="318"/>
      <c r="T58" s="318"/>
      <c r="U58" s="647">
        <v>18.3</v>
      </c>
      <c r="V58" s="340"/>
      <c r="W58" s="53"/>
      <c r="X58" s="53"/>
      <c r="Y58" s="53"/>
      <c r="Z58" s="53"/>
      <c r="AA58" s="53"/>
      <c r="AB58" s="53"/>
      <c r="AF58" t="s">
        <v>921</v>
      </c>
    </row>
    <row r="59" spans="2:32">
      <c r="C59" s="46" t="s">
        <v>105</v>
      </c>
      <c r="D59" s="318">
        <v>-5.0999999999999996</v>
      </c>
      <c r="E59" s="318">
        <v>34.200000000000003</v>
      </c>
      <c r="F59" s="318">
        <v>13.3</v>
      </c>
      <c r="G59" s="318"/>
      <c r="H59" s="318"/>
      <c r="I59" s="318"/>
      <c r="J59" s="318"/>
      <c r="K59" s="318">
        <v>7.7</v>
      </c>
      <c r="L59" s="318"/>
      <c r="M59" s="318"/>
      <c r="N59" s="318"/>
      <c r="O59" s="318"/>
      <c r="P59" s="318">
        <v>23.3</v>
      </c>
      <c r="Q59" s="318"/>
      <c r="R59" s="318"/>
      <c r="S59" s="318"/>
      <c r="T59" s="318"/>
      <c r="U59" s="647">
        <v>57</v>
      </c>
      <c r="V59" s="340"/>
      <c r="W59" s="53"/>
      <c r="X59" s="53"/>
      <c r="Y59" s="53"/>
      <c r="Z59" s="53"/>
      <c r="AA59" s="53"/>
      <c r="AB59" s="53"/>
    </row>
    <row r="60" spans="2:32">
      <c r="C60" s="46" t="s">
        <v>73</v>
      </c>
      <c r="D60" s="405">
        <v>0</v>
      </c>
      <c r="E60" s="405">
        <v>0</v>
      </c>
      <c r="F60" s="318">
        <v>-1.2</v>
      </c>
      <c r="G60" s="318"/>
      <c r="H60" s="318"/>
      <c r="I60" s="318"/>
      <c r="J60" s="318"/>
      <c r="K60" s="318">
        <v>-23.9</v>
      </c>
      <c r="L60" s="318"/>
      <c r="M60" s="318"/>
      <c r="N60" s="318"/>
      <c r="O60" s="318"/>
      <c r="P60" s="318">
        <v>9.1999999999999993</v>
      </c>
      <c r="Q60" s="318"/>
      <c r="R60" s="318"/>
      <c r="S60" s="318"/>
      <c r="T60" s="318"/>
      <c r="U60" s="647">
        <v>-34.799999999999997</v>
      </c>
      <c r="V60" s="340"/>
      <c r="W60" s="53"/>
      <c r="X60" s="53"/>
      <c r="Y60" s="53"/>
      <c r="Z60" s="53"/>
      <c r="AA60" s="53"/>
      <c r="AB60" s="53"/>
      <c r="AF60" t="s">
        <v>900</v>
      </c>
    </row>
    <row r="61" spans="2:32">
      <c r="C61" s="46" t="s">
        <v>861</v>
      </c>
      <c r="D61" s="318">
        <v>-57</v>
      </c>
      <c r="E61" s="318">
        <v>-13.6</v>
      </c>
      <c r="F61" s="405">
        <v>0</v>
      </c>
      <c r="G61" s="405"/>
      <c r="H61" s="405"/>
      <c r="I61" s="405"/>
      <c r="J61" s="405"/>
      <c r="K61" s="405">
        <v>0</v>
      </c>
      <c r="L61" s="405"/>
      <c r="M61" s="405"/>
      <c r="N61" s="405"/>
      <c r="O61" s="405"/>
      <c r="P61" s="405">
        <v>0</v>
      </c>
      <c r="Q61" s="318"/>
      <c r="R61" s="318"/>
      <c r="S61" s="318"/>
      <c r="T61" s="318"/>
      <c r="U61" s="1324">
        <v>0</v>
      </c>
      <c r="V61" s="1774"/>
      <c r="W61" s="53"/>
      <c r="X61" s="53"/>
      <c r="Y61" s="53"/>
      <c r="Z61" s="53"/>
      <c r="AA61" s="53"/>
      <c r="AB61" s="53"/>
      <c r="AF61" t="s">
        <v>901</v>
      </c>
    </row>
    <row r="62" spans="2:32">
      <c r="C62" s="46" t="s">
        <v>856</v>
      </c>
      <c r="D62" s="318">
        <v>-19.100000000000001</v>
      </c>
      <c r="E62" s="318">
        <v>-28</v>
      </c>
      <c r="F62" s="318">
        <v>38.4</v>
      </c>
      <c r="G62" s="318"/>
      <c r="H62" s="318"/>
      <c r="I62" s="318"/>
      <c r="J62" s="318"/>
      <c r="K62" s="318">
        <v>0</v>
      </c>
      <c r="L62" s="318"/>
      <c r="M62" s="318"/>
      <c r="N62" s="318"/>
      <c r="O62" s="318"/>
      <c r="P62" s="318">
        <v>0</v>
      </c>
      <c r="Q62" s="318"/>
      <c r="R62" s="318"/>
      <c r="S62" s="318"/>
      <c r="T62" s="318"/>
      <c r="U62" s="647">
        <v>0</v>
      </c>
      <c r="V62" s="340"/>
      <c r="W62" s="53"/>
      <c r="X62" s="53"/>
      <c r="Y62" s="53"/>
      <c r="Z62" s="53"/>
      <c r="AA62" s="53"/>
      <c r="AB62" s="53"/>
      <c r="AF62" t="s">
        <v>1403</v>
      </c>
    </row>
    <row r="63" spans="2:32">
      <c r="C63" s="46" t="s">
        <v>57</v>
      </c>
      <c r="D63" s="318">
        <v>-39.9</v>
      </c>
      <c r="E63" s="318">
        <v>-21.8</v>
      </c>
      <c r="F63" s="405">
        <v>0</v>
      </c>
      <c r="G63" s="405"/>
      <c r="H63" s="405"/>
      <c r="I63" s="405"/>
      <c r="J63" s="405"/>
      <c r="K63" s="405">
        <v>0</v>
      </c>
      <c r="L63" s="405"/>
      <c r="M63" s="405"/>
      <c r="N63" s="405"/>
      <c r="O63" s="405"/>
      <c r="P63" s="405">
        <v>0</v>
      </c>
      <c r="Q63" s="318"/>
      <c r="R63" s="318"/>
      <c r="S63" s="318"/>
      <c r="T63" s="318"/>
      <c r="U63" s="1324">
        <v>0</v>
      </c>
      <c r="V63" s="1774"/>
      <c r="W63" s="53"/>
      <c r="X63" s="53"/>
      <c r="Y63" s="53"/>
      <c r="Z63" s="53"/>
      <c r="AA63" s="53"/>
      <c r="AB63" s="53"/>
      <c r="AF63" t="s">
        <v>896</v>
      </c>
    </row>
    <row r="64" spans="2:32">
      <c r="C64" s="46" t="s">
        <v>862</v>
      </c>
      <c r="D64" s="318">
        <v>19.5</v>
      </c>
      <c r="E64" s="318">
        <v>-18.399999999999999</v>
      </c>
      <c r="F64" s="405">
        <v>0</v>
      </c>
      <c r="G64" s="405"/>
      <c r="H64" s="405"/>
      <c r="I64" s="405"/>
      <c r="J64" s="405"/>
      <c r="K64" s="405">
        <v>0</v>
      </c>
      <c r="L64" s="405"/>
      <c r="M64" s="405"/>
      <c r="N64" s="405"/>
      <c r="O64" s="405"/>
      <c r="P64" s="405">
        <v>0</v>
      </c>
      <c r="Q64" s="318"/>
      <c r="R64" s="318"/>
      <c r="S64" s="318"/>
      <c r="T64" s="318"/>
      <c r="U64" s="1324">
        <v>0</v>
      </c>
      <c r="V64" s="1774"/>
      <c r="W64" s="53"/>
      <c r="X64" s="53"/>
      <c r="Y64" s="53"/>
      <c r="Z64" s="53"/>
      <c r="AA64" s="53"/>
      <c r="AB64" s="53"/>
      <c r="AF64" t="s">
        <v>922</v>
      </c>
    </row>
    <row r="65" spans="2:32">
      <c r="C65" s="46" t="s">
        <v>55</v>
      </c>
      <c r="D65" s="318">
        <v>-54</v>
      </c>
      <c r="E65" s="318">
        <v>-31.3</v>
      </c>
      <c r="F65" s="318">
        <v>-57</v>
      </c>
      <c r="G65" s="405"/>
      <c r="H65" s="405"/>
      <c r="I65" s="405"/>
      <c r="J65" s="405"/>
      <c r="K65" s="405">
        <v>0</v>
      </c>
      <c r="L65" s="405"/>
      <c r="M65" s="405"/>
      <c r="N65" s="405"/>
      <c r="O65" s="405"/>
      <c r="P65" s="405">
        <v>0</v>
      </c>
      <c r="Q65" s="318"/>
      <c r="R65" s="318"/>
      <c r="S65" s="318"/>
      <c r="T65" s="318"/>
      <c r="U65" s="1324">
        <v>0</v>
      </c>
      <c r="V65" s="1774"/>
      <c r="W65" s="53"/>
      <c r="X65" s="53"/>
      <c r="Y65" s="53"/>
      <c r="Z65" s="53"/>
      <c r="AA65" s="53"/>
      <c r="AB65" s="53"/>
      <c r="AF65" t="s">
        <v>922</v>
      </c>
    </row>
    <row r="66" spans="2:32">
      <c r="C66" s="46" t="s">
        <v>863</v>
      </c>
      <c r="D66" s="318">
        <v>-6.6</v>
      </c>
      <c r="E66" s="318">
        <v>-24.5</v>
      </c>
      <c r="F66" s="405">
        <v>0</v>
      </c>
      <c r="G66" s="405"/>
      <c r="H66" s="405"/>
      <c r="I66" s="405"/>
      <c r="J66" s="405"/>
      <c r="K66" s="405">
        <v>0</v>
      </c>
      <c r="L66" s="405"/>
      <c r="M66" s="405"/>
      <c r="N66" s="405"/>
      <c r="O66" s="405"/>
      <c r="P66" s="405">
        <v>0</v>
      </c>
      <c r="Q66" s="318"/>
      <c r="R66" s="318"/>
      <c r="S66" s="318"/>
      <c r="T66" s="318"/>
      <c r="U66" s="1324">
        <v>0</v>
      </c>
      <c r="V66" s="1774"/>
      <c r="W66" s="53"/>
      <c r="X66" s="53"/>
      <c r="Y66" s="53"/>
      <c r="Z66" s="53"/>
      <c r="AA66" s="53"/>
      <c r="AB66" s="53"/>
      <c r="AF66" t="s">
        <v>922</v>
      </c>
    </row>
    <row r="67" spans="2:32">
      <c r="C67" s="46" t="s">
        <v>41</v>
      </c>
      <c r="D67" s="318">
        <v>-6</v>
      </c>
      <c r="E67" s="318">
        <v>-11.5</v>
      </c>
      <c r="F67" s="318">
        <f>57-9.5</f>
        <v>47.5</v>
      </c>
      <c r="G67" s="318">
        <v>30.4</v>
      </c>
      <c r="H67" s="318"/>
      <c r="I67" s="318"/>
      <c r="J67" s="318"/>
      <c r="K67" s="318">
        <v>76.599999999999994</v>
      </c>
      <c r="L67" s="318">
        <v>22.7</v>
      </c>
      <c r="M67" s="318"/>
      <c r="N67" s="318"/>
      <c r="O67" s="318"/>
      <c r="P67" s="318">
        <v>69.400000000000006</v>
      </c>
      <c r="Q67" s="318">
        <v>-23.7</v>
      </c>
      <c r="R67" s="318"/>
      <c r="S67" s="318"/>
      <c r="T67" s="318"/>
      <c r="U67" s="647">
        <v>48.2</v>
      </c>
      <c r="V67" s="340"/>
      <c r="W67" s="53"/>
      <c r="X67" s="53"/>
      <c r="Y67" s="53"/>
      <c r="Z67" s="53"/>
      <c r="AA67" s="53"/>
      <c r="AB67" s="53"/>
    </row>
    <row r="68" spans="2:32" s="11" customFormat="1">
      <c r="C68" s="47" t="s">
        <v>857</v>
      </c>
      <c r="D68" s="336">
        <f>SUM(D54:D67)</f>
        <v>-67.699999999999989</v>
      </c>
      <c r="E68" s="336">
        <f>SUM(E54:E67)</f>
        <v>-72</v>
      </c>
      <c r="F68" s="336">
        <f>SUM(F54:F67)</f>
        <v>307.5</v>
      </c>
      <c r="G68" s="336">
        <f>SUM(G54:G67)</f>
        <v>148.80000000000001</v>
      </c>
      <c r="H68" s="336"/>
      <c r="I68" s="336"/>
      <c r="J68" s="336"/>
      <c r="K68" s="336">
        <f>SUM(K54:K67)</f>
        <v>822.50000000000011</v>
      </c>
      <c r="L68" s="336">
        <f>SUM(L54:L67)</f>
        <v>240.59999999999997</v>
      </c>
      <c r="M68" s="336"/>
      <c r="N68" s="336"/>
      <c r="O68" s="336"/>
      <c r="P68" s="336">
        <f>SUM(P54:P67)</f>
        <v>842</v>
      </c>
      <c r="Q68" s="336">
        <f>SUM(Q54:Q67)</f>
        <v>121.99999999999999</v>
      </c>
      <c r="R68" s="336"/>
      <c r="S68" s="336"/>
      <c r="T68" s="336"/>
      <c r="U68" s="1100">
        <f>SUM(U54:U67)</f>
        <v>855.90000000000009</v>
      </c>
      <c r="V68" s="1747"/>
      <c r="W68" s="469"/>
      <c r="X68" s="469"/>
      <c r="Y68" s="469"/>
      <c r="Z68" s="469"/>
      <c r="AA68" s="469"/>
      <c r="AB68" s="469"/>
    </row>
    <row r="69" spans="2:32" ht="7" customHeight="1">
      <c r="D69" s="53"/>
      <c r="E69" s="53"/>
      <c r="F69" s="53"/>
      <c r="G69" s="53"/>
      <c r="H69" s="53"/>
      <c r="I69" s="53"/>
      <c r="J69" s="53"/>
      <c r="K69" s="53"/>
      <c r="L69" s="53"/>
      <c r="M69" s="53"/>
      <c r="N69" s="53"/>
      <c r="O69" s="53"/>
      <c r="P69" s="53"/>
      <c r="Q69" s="53"/>
      <c r="R69" s="53"/>
      <c r="S69" s="53"/>
      <c r="T69" s="53"/>
      <c r="U69" s="53"/>
      <c r="V69" s="53"/>
      <c r="W69" s="53"/>
      <c r="X69" s="53"/>
      <c r="Y69" s="53"/>
      <c r="Z69" s="53"/>
      <c r="AA69" s="53"/>
      <c r="AB69" s="53"/>
    </row>
    <row r="70" spans="2:32" s="11" customFormat="1">
      <c r="B70" s="48" t="s">
        <v>858</v>
      </c>
      <c r="C70" s="123"/>
      <c r="D70" s="336">
        <f>+D46+D51+D68</f>
        <v>23.100000000000023</v>
      </c>
      <c r="E70" s="336">
        <f>+E46+E51+E68</f>
        <v>-232.1</v>
      </c>
      <c r="F70" s="336">
        <f>+F46+F51+F68</f>
        <v>329.4</v>
      </c>
      <c r="G70" s="336">
        <f>+G46+G51+G68</f>
        <v>185.9</v>
      </c>
      <c r="H70" s="336"/>
      <c r="I70" s="336"/>
      <c r="J70" s="336"/>
      <c r="K70" s="336">
        <f>+K46+K51+K68</f>
        <v>984.30000000000018</v>
      </c>
      <c r="L70" s="336">
        <f>+L46+L51+L68</f>
        <v>295.59999999999997</v>
      </c>
      <c r="M70" s="336"/>
      <c r="N70" s="336"/>
      <c r="O70" s="336"/>
      <c r="P70" s="336">
        <f>+P46+P51+P68</f>
        <v>941.5</v>
      </c>
      <c r="Q70" s="336">
        <f>+Q46+Q51+Q68</f>
        <v>126.89999999999999</v>
      </c>
      <c r="R70" s="336"/>
      <c r="S70" s="336"/>
      <c r="T70" s="336"/>
      <c r="U70" s="1100">
        <f>+U46+U51+U68</f>
        <v>898.60000000000014</v>
      </c>
      <c r="V70" s="1747"/>
      <c r="W70" s="469"/>
      <c r="X70" s="469"/>
      <c r="Y70" s="469"/>
      <c r="Z70" s="469"/>
      <c r="AA70" s="469"/>
      <c r="AB70" s="469"/>
    </row>
    <row r="71" spans="2:32" ht="7" customHeight="1">
      <c r="D71" s="53"/>
      <c r="E71" s="53"/>
      <c r="F71" s="53"/>
      <c r="G71" s="53"/>
      <c r="H71" s="53"/>
      <c r="I71" s="53"/>
      <c r="J71" s="53"/>
      <c r="K71" s="53"/>
      <c r="L71" s="53"/>
      <c r="M71" s="53"/>
      <c r="N71" s="53"/>
      <c r="O71" s="53"/>
      <c r="P71" s="53"/>
      <c r="Q71" s="53"/>
      <c r="R71" s="53"/>
      <c r="S71" s="53"/>
      <c r="T71" s="53"/>
      <c r="U71" s="53"/>
      <c r="V71" s="53"/>
      <c r="W71" s="53"/>
      <c r="X71" s="53"/>
      <c r="Y71" s="53"/>
      <c r="Z71" s="53"/>
      <c r="AA71" s="53"/>
      <c r="AB71" s="53"/>
    </row>
    <row r="72" spans="2:32" s="11" customFormat="1">
      <c r="B72" s="48" t="s">
        <v>868</v>
      </c>
      <c r="C72" s="123"/>
      <c r="D72" s="336">
        <f>+D70+D34</f>
        <v>169.60000000000005</v>
      </c>
      <c r="E72" s="336">
        <f>+E70+E34</f>
        <v>-112.80000000000001</v>
      </c>
      <c r="F72" s="336">
        <f>+F70+F34</f>
        <v>402</v>
      </c>
      <c r="G72" s="336">
        <v>180.6</v>
      </c>
      <c r="H72" s="336"/>
      <c r="I72" s="336"/>
      <c r="J72" s="336"/>
      <c r="K72" s="336">
        <f>+K70+K34</f>
        <v>1014.7000000000002</v>
      </c>
      <c r="L72" s="336">
        <v>333.8</v>
      </c>
      <c r="M72" s="336"/>
      <c r="N72" s="336"/>
      <c r="O72" s="336"/>
      <c r="P72" s="336">
        <f>+P70+P34</f>
        <v>1022.2</v>
      </c>
      <c r="Q72" s="336">
        <v>127.7</v>
      </c>
      <c r="R72" s="336"/>
      <c r="S72" s="336"/>
      <c r="T72" s="336"/>
      <c r="U72" s="1100">
        <f>+U70+U34</f>
        <v>956.30000000000018</v>
      </c>
      <c r="V72" s="1747"/>
      <c r="W72" s="469"/>
      <c r="X72" s="469"/>
      <c r="Y72" s="469"/>
      <c r="Z72" s="469"/>
      <c r="AA72" s="469"/>
      <c r="AB72" s="469"/>
    </row>
    <row r="73" spans="2:32">
      <c r="G73" s="790"/>
      <c r="L73" s="790"/>
      <c r="Q73" s="469"/>
      <c r="W73" s="469"/>
      <c r="X73" s="469"/>
    </row>
    <row r="74" spans="2:32">
      <c r="D74">
        <v>-67.699999999999989</v>
      </c>
      <c r="E74">
        <v>-72</v>
      </c>
      <c r="F74">
        <v>307.5</v>
      </c>
      <c r="K74">
        <v>773.10000000000014</v>
      </c>
      <c r="P74">
        <v>960</v>
      </c>
    </row>
    <row r="75" spans="2:32" ht="17">
      <c r="B75" s="511" t="s">
        <v>860</v>
      </c>
    </row>
    <row r="77" spans="2:32" ht="17">
      <c r="B77" s="511" t="s">
        <v>867</v>
      </c>
    </row>
    <row r="78" spans="2:32" ht="17">
      <c r="B78" s="511" t="s">
        <v>864</v>
      </c>
    </row>
    <row r="79" spans="2:32" ht="17">
      <c r="B79" s="511" t="s">
        <v>866</v>
      </c>
    </row>
    <row r="80" spans="2:32" ht="17">
      <c r="B80" s="511" t="s">
        <v>865</v>
      </c>
    </row>
    <row r="82" spans="2:2" ht="17">
      <c r="B82" s="512" t="s">
        <v>873</v>
      </c>
    </row>
    <row r="83" spans="2:2" ht="17">
      <c r="B83" s="512" t="s">
        <v>874</v>
      </c>
    </row>
  </sheetData>
  <phoneticPr fontId="16" type="noConversion"/>
  <pageMargins left="0.2" right="0.2" top="0.25" bottom="0.25" header="0.05" footer="0.25"/>
  <pageSetup scale="93" orientation="portrait" horizontalDpi="0" verticalDpi="0"/>
  <ignoredErrors>
    <ignoredError sqref="K34 AA19 K19 U34 D19:F19 U19 AD19" formulaRange="1"/>
    <ignoredError sqref="T19 J12 O12 T12 Z19 R20"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B05A-DF42-864D-971F-4098BA23EDFA}">
  <dimension ref="B3:AM118"/>
  <sheetViews>
    <sheetView topLeftCell="A4" workbookViewId="0">
      <selection activeCell="N5" sqref="N5"/>
    </sheetView>
  </sheetViews>
  <sheetFormatPr baseColWidth="10" defaultRowHeight="16"/>
  <cols>
    <col min="2" max="2" width="2.83203125" customWidth="1"/>
    <col min="3" max="3" width="12.1640625" customWidth="1"/>
    <col min="4" max="4" width="5.83203125" customWidth="1"/>
    <col min="5" max="5" width="8.33203125" customWidth="1"/>
    <col min="6" max="6" width="8" customWidth="1"/>
    <col min="7" max="12" width="7.83203125" customWidth="1"/>
    <col min="13" max="13" width="6.33203125" customWidth="1"/>
    <col min="14" max="14" width="7.83203125" customWidth="1"/>
    <col min="15" max="15" width="11.1640625" customWidth="1"/>
    <col min="16" max="16" width="6.33203125" customWidth="1"/>
    <col min="17" max="17" width="8.1640625" customWidth="1"/>
    <col min="18" max="18" width="7.83203125" customWidth="1"/>
    <col min="19" max="19" width="6.33203125" customWidth="1"/>
    <col min="20" max="20" width="8.6640625" customWidth="1"/>
    <col min="26" max="26" width="6.83203125" customWidth="1"/>
    <col min="27" max="31" width="7.6640625" customWidth="1"/>
    <col min="32" max="32" width="6.83203125" customWidth="1"/>
    <col min="33" max="33" width="7.6640625" customWidth="1"/>
    <col min="34" max="34" width="6.83203125" customWidth="1"/>
    <col min="35" max="36" width="7.5" customWidth="1"/>
  </cols>
  <sheetData>
    <row r="3" spans="4:12">
      <c r="E3" s="11" t="s">
        <v>2282</v>
      </c>
    </row>
    <row r="4" spans="4:12">
      <c r="E4" t="s">
        <v>2284</v>
      </c>
      <c r="G4" s="1960">
        <v>2021</v>
      </c>
      <c r="H4" s="1960">
        <v>2022</v>
      </c>
      <c r="I4" s="1960">
        <v>2023</v>
      </c>
      <c r="J4" s="1960">
        <v>2024</v>
      </c>
      <c r="K4" s="1962" t="s">
        <v>1061</v>
      </c>
      <c r="L4" s="1222" t="s">
        <v>2068</v>
      </c>
    </row>
    <row r="5" spans="4:12">
      <c r="E5" s="50" t="s">
        <v>2280</v>
      </c>
      <c r="F5" s="28"/>
      <c r="G5" s="318">
        <v>65</v>
      </c>
      <c r="H5" s="318">
        <v>61</v>
      </c>
      <c r="I5" s="318">
        <v>46</v>
      </c>
      <c r="J5" s="318">
        <v>212</v>
      </c>
      <c r="K5" s="740">
        <v>360</v>
      </c>
      <c r="L5" s="765">
        <v>450</v>
      </c>
    </row>
    <row r="7" spans="4:12">
      <c r="E7" t="s">
        <v>2283</v>
      </c>
    </row>
    <row r="8" spans="4:12">
      <c r="E8" t="s">
        <v>2281</v>
      </c>
    </row>
    <row r="11" spans="4:12">
      <c r="D11" s="11" t="s">
        <v>2252</v>
      </c>
    </row>
    <row r="12" spans="4:12">
      <c r="E12" s="40" t="s">
        <v>1440</v>
      </c>
      <c r="I12" s="40" t="s">
        <v>1440</v>
      </c>
    </row>
    <row r="13" spans="4:12">
      <c r="E13" s="41" t="s">
        <v>1910</v>
      </c>
      <c r="I13" s="41" t="s">
        <v>1910</v>
      </c>
    </row>
    <row r="14" spans="4:12">
      <c r="D14" s="1129">
        <v>2020</v>
      </c>
      <c r="E14" s="318">
        <v>-126</v>
      </c>
      <c r="H14" s="1129">
        <v>2020</v>
      </c>
      <c r="I14" s="318">
        <v>-126</v>
      </c>
    </row>
    <row r="15" spans="4:12">
      <c r="D15" s="1129">
        <v>2021</v>
      </c>
      <c r="E15" s="318">
        <v>65</v>
      </c>
    </row>
    <row r="16" spans="4:12">
      <c r="D16" s="1129">
        <v>2022</v>
      </c>
      <c r="E16" s="318">
        <v>61</v>
      </c>
    </row>
    <row r="17" spans="4:23">
      <c r="D17" s="1129">
        <v>2023</v>
      </c>
      <c r="E17" s="318">
        <v>46</v>
      </c>
    </row>
    <row r="18" spans="4:23">
      <c r="D18" s="1129">
        <v>2024</v>
      </c>
      <c r="E18" s="318">
        <v>212</v>
      </c>
    </row>
    <row r="19" spans="4:23">
      <c r="D19" s="1925" t="s">
        <v>1061</v>
      </c>
      <c r="E19" s="740">
        <v>360</v>
      </c>
    </row>
    <row r="20" spans="4:23">
      <c r="D20" s="978" t="s">
        <v>2068</v>
      </c>
      <c r="E20" s="765">
        <v>450</v>
      </c>
    </row>
    <row r="22" spans="4:23">
      <c r="D22" t="s">
        <v>1912</v>
      </c>
    </row>
    <row r="23" spans="4:23">
      <c r="D23" t="s">
        <v>1913</v>
      </c>
    </row>
    <row r="27" spans="4:23">
      <c r="D27" s="11" t="s">
        <v>2204</v>
      </c>
      <c r="T27" t="s">
        <v>1911</v>
      </c>
      <c r="V27" s="53">
        <f>+E35-E31</f>
        <v>1940.6000000000004</v>
      </c>
      <c r="W27" s="492">
        <f>+V27/E31</f>
        <v>0.40920209176788136</v>
      </c>
    </row>
    <row r="28" spans="4:23">
      <c r="H28" s="42" t="s">
        <v>813</v>
      </c>
      <c r="I28" s="42" t="s">
        <v>814</v>
      </c>
      <c r="J28" s="42" t="s">
        <v>2197</v>
      </c>
    </row>
    <row r="29" spans="4:23">
      <c r="E29" s="2091" t="s">
        <v>1441</v>
      </c>
      <c r="F29" s="2095"/>
      <c r="G29" s="2092"/>
      <c r="H29" s="1909" t="s">
        <v>1440</v>
      </c>
      <c r="I29" s="863" t="s">
        <v>2193</v>
      </c>
      <c r="J29" s="1165" t="s">
        <v>2195</v>
      </c>
    </row>
    <row r="30" spans="4:23">
      <c r="E30" s="829" t="s">
        <v>1507</v>
      </c>
      <c r="F30" s="2110" t="s">
        <v>16</v>
      </c>
      <c r="G30" s="2110"/>
      <c r="H30" s="1910" t="s">
        <v>1910</v>
      </c>
      <c r="I30" s="1320" t="s">
        <v>2194</v>
      </c>
      <c r="J30" s="1673" t="s">
        <v>2196</v>
      </c>
      <c r="K30" s="1404" t="s">
        <v>2205</v>
      </c>
      <c r="L30" s="63"/>
      <c r="M30" s="63"/>
      <c r="N30" s="63"/>
      <c r="O30" s="63"/>
      <c r="P30" s="63"/>
      <c r="Q30" s="28"/>
    </row>
    <row r="31" spans="4:23" ht="17">
      <c r="D31" s="1129">
        <v>2020</v>
      </c>
      <c r="E31" s="748">
        <v>4742.3999999999996</v>
      </c>
      <c r="F31" s="746" t="s">
        <v>40</v>
      </c>
      <c r="G31" s="746" t="s">
        <v>40</v>
      </c>
      <c r="H31" s="1361">
        <v>-126</v>
      </c>
      <c r="I31" s="801"/>
      <c r="J31" s="208"/>
      <c r="K31" s="79" t="s">
        <v>2206</v>
      </c>
      <c r="L31" s="25"/>
      <c r="M31" s="25"/>
      <c r="N31" s="25"/>
      <c r="O31" s="25"/>
      <c r="P31" s="25"/>
      <c r="Q31" s="1260"/>
      <c r="T31" t="s">
        <v>2201</v>
      </c>
    </row>
    <row r="32" spans="4:23">
      <c r="D32" s="1129">
        <v>2021</v>
      </c>
      <c r="E32" s="719">
        <v>5157.5</v>
      </c>
      <c r="F32" s="719">
        <f>+E32-E31</f>
        <v>415.10000000000036</v>
      </c>
      <c r="G32" s="732">
        <f>+F32/E31</f>
        <v>8.7529520917678891E-2</v>
      </c>
      <c r="H32" s="1361">
        <v>65</v>
      </c>
      <c r="I32" s="801"/>
      <c r="J32" s="208"/>
      <c r="K32" s="50" t="s">
        <v>2207</v>
      </c>
      <c r="L32" s="63"/>
      <c r="M32" s="63"/>
      <c r="N32" s="63"/>
      <c r="O32" s="63"/>
      <c r="P32" s="63"/>
      <c r="Q32" s="28"/>
      <c r="T32" t="s">
        <v>2203</v>
      </c>
      <c r="V32" s="53">
        <f>+E36-E31</f>
        <v>3882.2666666666664</v>
      </c>
      <c r="W32" s="492">
        <f>+V32/E31</f>
        <v>0.8186291048133153</v>
      </c>
    </row>
    <row r="33" spans="3:34">
      <c r="D33" s="1129">
        <v>2022</v>
      </c>
      <c r="E33" s="719">
        <v>5581.6</v>
      </c>
      <c r="F33" s="719">
        <f t="shared" ref="F33:F36" si="0">+E33-E32</f>
        <v>424.10000000000036</v>
      </c>
      <c r="G33" s="732">
        <f t="shared" ref="G33:G36" si="1">+F33/E32</f>
        <v>8.2229762481822663E-2</v>
      </c>
      <c r="H33" s="1361">
        <v>61</v>
      </c>
      <c r="I33" s="740">
        <v>133.4</v>
      </c>
      <c r="J33" s="405">
        <f>+H33+I33</f>
        <v>194.4</v>
      </c>
      <c r="K33" s="50" t="s">
        <v>1447</v>
      </c>
      <c r="L33" s="63"/>
      <c r="M33" s="63"/>
      <c r="N33" s="63"/>
      <c r="O33" s="63"/>
      <c r="P33" s="63"/>
      <c r="Q33" s="28"/>
    </row>
    <row r="34" spans="3:34">
      <c r="D34" s="1129">
        <v>2023</v>
      </c>
      <c r="E34" s="719">
        <v>6614.5</v>
      </c>
      <c r="F34" s="719">
        <f t="shared" si="0"/>
        <v>1032.8999999999996</v>
      </c>
      <c r="G34" s="732">
        <f t="shared" si="1"/>
        <v>0.18505446466962872</v>
      </c>
      <c r="H34" s="1361">
        <v>46</v>
      </c>
      <c r="I34" s="740">
        <f>112+26+66</f>
        <v>204</v>
      </c>
      <c r="J34" s="405">
        <f t="shared" ref="J34:J36" si="2">+H34+I34</f>
        <v>250</v>
      </c>
      <c r="K34" s="50" t="s">
        <v>1446</v>
      </c>
      <c r="L34" s="63"/>
      <c r="M34" s="63"/>
      <c r="N34" s="63"/>
      <c r="O34" s="63"/>
      <c r="P34" s="63"/>
      <c r="Q34" s="28"/>
      <c r="T34">
        <f>46+112+26+66</f>
        <v>250</v>
      </c>
    </row>
    <row r="35" spans="3:34">
      <c r="D35" s="1129">
        <v>2024</v>
      </c>
      <c r="E35" s="719">
        <v>6683</v>
      </c>
      <c r="F35" s="719">
        <f t="shared" si="0"/>
        <v>68.5</v>
      </c>
      <c r="G35" s="732">
        <f t="shared" si="1"/>
        <v>1.0356035981555673E-2</v>
      </c>
      <c r="H35" s="1361">
        <v>212</v>
      </c>
      <c r="I35" s="740">
        <f>52+67</f>
        <v>119</v>
      </c>
      <c r="J35" s="405">
        <f t="shared" si="2"/>
        <v>331</v>
      </c>
      <c r="K35" s="50" t="s">
        <v>1909</v>
      </c>
      <c r="L35" s="63"/>
      <c r="M35" s="63"/>
      <c r="N35" s="63"/>
      <c r="O35" s="63"/>
      <c r="P35" s="63"/>
      <c r="Q35" s="28"/>
    </row>
    <row r="36" spans="3:34">
      <c r="D36" s="1862" t="s">
        <v>1061</v>
      </c>
      <c r="E36" s="719">
        <f>(+AA51)/9*12</f>
        <v>8624.6666666666661</v>
      </c>
      <c r="F36" s="719">
        <f t="shared" si="0"/>
        <v>1941.6666666666661</v>
      </c>
      <c r="G36" s="732">
        <f t="shared" si="1"/>
        <v>0.29053818145543409</v>
      </c>
      <c r="H36" s="1624">
        <v>360</v>
      </c>
      <c r="I36" s="1426">
        <v>108.6</v>
      </c>
      <c r="J36" s="405">
        <f t="shared" si="2"/>
        <v>468.6</v>
      </c>
      <c r="K36" s="50" t="s">
        <v>2202</v>
      </c>
      <c r="L36" s="63"/>
      <c r="M36" s="63"/>
      <c r="N36" s="63"/>
      <c r="O36" s="63"/>
      <c r="P36" s="63"/>
      <c r="Q36" s="28"/>
    </row>
    <row r="37" spans="3:34" ht="16" customHeight="1">
      <c r="D37" s="1905" t="s">
        <v>2233</v>
      </c>
      <c r="E37" s="1904"/>
      <c r="F37" s="793">
        <f>+E36-E31</f>
        <v>3882.2666666666664</v>
      </c>
      <c r="G37" s="1313">
        <f>+F37/E31</f>
        <v>0.8186291048133153</v>
      </c>
      <c r="H37" s="900"/>
      <c r="I37" s="57"/>
      <c r="J37" s="57"/>
    </row>
    <row r="38" spans="3:34" ht="16" customHeight="1">
      <c r="D38" s="1906" t="s">
        <v>2165</v>
      </c>
      <c r="E38" s="1907"/>
      <c r="F38" s="1908"/>
      <c r="G38" s="1277">
        <v>0.127</v>
      </c>
      <c r="I38" s="53"/>
      <c r="J38" s="53"/>
    </row>
    <row r="39" spans="3:34">
      <c r="D39" t="s">
        <v>1912</v>
      </c>
      <c r="E39" s="53"/>
      <c r="H39" s="53"/>
      <c r="I39" s="53"/>
      <c r="J39" s="53"/>
    </row>
    <row r="40" spans="3:34">
      <c r="C40" s="282"/>
      <c r="D40" t="s">
        <v>1913</v>
      </c>
    </row>
    <row r="41" spans="3:34">
      <c r="C41" s="282"/>
    </row>
    <row r="42" spans="3:34">
      <c r="C42" s="282" t="s">
        <v>1897</v>
      </c>
    </row>
    <row r="43" spans="3:34">
      <c r="C43" s="282"/>
      <c r="Y43" s="11" t="s">
        <v>2198</v>
      </c>
    </row>
    <row r="44" spans="3:34">
      <c r="C44" s="11" t="s">
        <v>1895</v>
      </c>
      <c r="AA44" s="2091" t="s">
        <v>2187</v>
      </c>
      <c r="AB44" s="2092"/>
      <c r="AC44" s="2093" t="s">
        <v>2188</v>
      </c>
      <c r="AD44" s="2094"/>
      <c r="AG44" s="2132" t="s">
        <v>2199</v>
      </c>
      <c r="AH44" s="2133"/>
    </row>
    <row r="45" spans="3:34">
      <c r="C45" s="282" t="s">
        <v>1898</v>
      </c>
      <c r="E45" s="2071">
        <v>2024</v>
      </c>
      <c r="F45" s="2072"/>
      <c r="G45" s="502" t="s">
        <v>1440</v>
      </c>
      <c r="H45" s="2091">
        <v>2023</v>
      </c>
      <c r="I45" s="2092"/>
      <c r="J45" s="1261" t="s">
        <v>1440</v>
      </c>
      <c r="K45" s="2071">
        <v>2022</v>
      </c>
      <c r="L45" s="2072"/>
      <c r="M45" s="502" t="s">
        <v>1440</v>
      </c>
      <c r="N45" s="2091">
        <v>2021</v>
      </c>
      <c r="O45" s="2092"/>
      <c r="P45" s="1261" t="s">
        <v>1440</v>
      </c>
      <c r="Q45" s="2071">
        <v>2020</v>
      </c>
      <c r="R45" s="2072"/>
      <c r="S45" s="502" t="s">
        <v>1440</v>
      </c>
      <c r="U45" s="48">
        <v>2019</v>
      </c>
      <c r="V45" s="123"/>
      <c r="W45" s="502" t="s">
        <v>1440</v>
      </c>
      <c r="Y45" s="1861" t="s">
        <v>2183</v>
      </c>
      <c r="AA45" s="1609"/>
      <c r="AB45" s="1261" t="s">
        <v>1440</v>
      </c>
      <c r="AC45" s="446"/>
      <c r="AD45" s="1606" t="s">
        <v>1440</v>
      </c>
      <c r="AE45" s="2130" t="s">
        <v>2184</v>
      </c>
      <c r="AF45" s="2131"/>
      <c r="AG45" s="2134" t="s">
        <v>2200</v>
      </c>
      <c r="AH45" s="2135"/>
    </row>
    <row r="46" spans="3:34">
      <c r="E46" s="502" t="s">
        <v>1441</v>
      </c>
      <c r="F46" s="502" t="s">
        <v>1059</v>
      </c>
      <c r="G46" s="504" t="s">
        <v>824</v>
      </c>
      <c r="H46" s="1261" t="s">
        <v>1441</v>
      </c>
      <c r="I46" s="1261" t="s">
        <v>1059</v>
      </c>
      <c r="J46" s="1262" t="s">
        <v>824</v>
      </c>
      <c r="K46" s="502" t="s">
        <v>1441</v>
      </c>
      <c r="L46" s="502" t="s">
        <v>1059</v>
      </c>
      <c r="M46" s="504" t="s">
        <v>824</v>
      </c>
      <c r="N46" s="1261" t="s">
        <v>1441</v>
      </c>
      <c r="O46" s="1261" t="s">
        <v>1059</v>
      </c>
      <c r="P46" s="1262" t="s">
        <v>824</v>
      </c>
      <c r="Q46" s="502" t="s">
        <v>1441</v>
      </c>
      <c r="R46" s="502" t="s">
        <v>1059</v>
      </c>
      <c r="S46" s="504" t="s">
        <v>824</v>
      </c>
      <c r="U46" s="502" t="s">
        <v>1441</v>
      </c>
      <c r="V46" s="502" t="s">
        <v>1059</v>
      </c>
      <c r="W46" s="504" t="s">
        <v>1896</v>
      </c>
      <c r="AA46" s="1262" t="s">
        <v>1441</v>
      </c>
      <c r="AB46" s="1262" t="s">
        <v>824</v>
      </c>
      <c r="AC46" s="1607" t="s">
        <v>1441</v>
      </c>
      <c r="AD46" s="1607" t="s">
        <v>824</v>
      </c>
      <c r="AE46" s="1287" t="s">
        <v>984</v>
      </c>
      <c r="AF46" s="1290" t="s">
        <v>39</v>
      </c>
      <c r="AG46" s="1025" t="s">
        <v>984</v>
      </c>
      <c r="AH46" s="1025" t="s">
        <v>39</v>
      </c>
    </row>
    <row r="47" spans="3:34">
      <c r="C47" s="50" t="s">
        <v>1422</v>
      </c>
      <c r="D47" s="28"/>
      <c r="E47" s="318">
        <v>1953.9</v>
      </c>
      <c r="F47" s="318">
        <v>1797.9</v>
      </c>
      <c r="G47" s="318">
        <f>+E47-F47</f>
        <v>156</v>
      </c>
      <c r="H47" s="719">
        <v>1772.3</v>
      </c>
      <c r="I47" s="719">
        <v>1690.7</v>
      </c>
      <c r="J47" s="719">
        <f>+H47-I47</f>
        <v>81.599999999999909</v>
      </c>
      <c r="K47" s="318">
        <v>1710.3</v>
      </c>
      <c r="L47" s="318">
        <v>1582.2</v>
      </c>
      <c r="M47" s="318">
        <f>+K47-L47</f>
        <v>128.09999999999991</v>
      </c>
      <c r="N47" s="719">
        <v>1803.8</v>
      </c>
      <c r="O47" s="719">
        <v>1724.8</v>
      </c>
      <c r="P47" s="719">
        <f>+N47-O47</f>
        <v>79</v>
      </c>
      <c r="Q47" s="318">
        <v>1734.2</v>
      </c>
      <c r="R47" s="318">
        <v>1811.1</v>
      </c>
      <c r="S47" s="318">
        <f>+Q47-R47</f>
        <v>-76.899999999999864</v>
      </c>
      <c r="U47" s="318">
        <v>2120.6</v>
      </c>
      <c r="V47" s="318">
        <v>2049.5</v>
      </c>
      <c r="W47" s="318">
        <f>+U47-V47</f>
        <v>71.099999999999909</v>
      </c>
      <c r="Y47" s="50" t="s">
        <v>1422</v>
      </c>
      <c r="Z47" s="28"/>
      <c r="AA47" s="748">
        <v>1887.3</v>
      </c>
      <c r="AB47" s="748">
        <v>169</v>
      </c>
      <c r="AC47" s="1625">
        <v>1290.5</v>
      </c>
      <c r="AD47" s="1625">
        <v>88</v>
      </c>
      <c r="AE47" s="740">
        <f>+AA47-AC47</f>
        <v>596.79999999999995</v>
      </c>
      <c r="AF47" s="737">
        <f>+AE47/AC47</f>
        <v>0.46245641224331652</v>
      </c>
      <c r="AG47" s="405">
        <f>+AB47-AD47</f>
        <v>81</v>
      </c>
      <c r="AH47" s="1166">
        <f>+AG47/AD47</f>
        <v>0.92045454545454541</v>
      </c>
    </row>
    <row r="48" spans="3:34">
      <c r="C48" s="50" t="s">
        <v>3</v>
      </c>
      <c r="D48" s="28"/>
      <c r="E48" s="318">
        <v>319.2</v>
      </c>
      <c r="F48" s="318">
        <v>281.89999999999998</v>
      </c>
      <c r="G48" s="318">
        <f>+E48-F48</f>
        <v>37.300000000000011</v>
      </c>
      <c r="H48" s="719">
        <v>263.3</v>
      </c>
      <c r="I48" s="719">
        <v>251.4</v>
      </c>
      <c r="J48" s="719">
        <f>+H48-I48</f>
        <v>11.900000000000006</v>
      </c>
      <c r="K48" s="318">
        <v>216.7</v>
      </c>
      <c r="L48" s="318">
        <v>208.1</v>
      </c>
      <c r="M48" s="318">
        <f t="shared" ref="M48:M50" si="3">+K48-L48</f>
        <v>8.5999999999999943</v>
      </c>
      <c r="N48" s="719">
        <v>228.2</v>
      </c>
      <c r="O48" s="719">
        <v>206.9</v>
      </c>
      <c r="P48" s="719">
        <f t="shared" ref="P48:P50" si="4">+N48-O48</f>
        <v>21.299999999999983</v>
      </c>
      <c r="Q48" s="318">
        <v>312.8</v>
      </c>
      <c r="R48" s="318">
        <v>305.89999999999998</v>
      </c>
      <c r="S48" s="318">
        <f>+Q48-R48</f>
        <v>6.9000000000000341</v>
      </c>
      <c r="U48" s="318">
        <v>410.8</v>
      </c>
      <c r="V48" s="318">
        <v>401.8</v>
      </c>
      <c r="W48" s="318">
        <f t="shared" ref="W48:W50" si="5">+U48-V48</f>
        <v>9</v>
      </c>
      <c r="Y48" s="50" t="s">
        <v>3</v>
      </c>
      <c r="Z48" s="28"/>
      <c r="AA48" s="719">
        <v>318.89999999999998</v>
      </c>
      <c r="AB48" s="719">
        <v>33</v>
      </c>
      <c r="AC48" s="765">
        <v>219.3</v>
      </c>
      <c r="AD48" s="765">
        <v>25</v>
      </c>
      <c r="AE48" s="740">
        <f>+AA48-AC48</f>
        <v>99.599999999999966</v>
      </c>
      <c r="AF48" s="737">
        <f>+AE48/AC48</f>
        <v>0.45417236662106686</v>
      </c>
      <c r="AG48" s="405">
        <f>+AB48-AD48</f>
        <v>8</v>
      </c>
      <c r="AH48" s="1166">
        <f>+AG48/AD48</f>
        <v>0.32</v>
      </c>
    </row>
    <row r="49" spans="2:39">
      <c r="C49" s="50" t="s">
        <v>5</v>
      </c>
      <c r="D49" s="28"/>
      <c r="E49" s="318">
        <v>973.4</v>
      </c>
      <c r="F49" s="318">
        <v>929.3</v>
      </c>
      <c r="G49" s="318">
        <f>+E49-F49</f>
        <v>44.100000000000023</v>
      </c>
      <c r="H49" s="719">
        <v>941.6</v>
      </c>
      <c r="I49" s="719">
        <v>906.5</v>
      </c>
      <c r="J49" s="719">
        <f>+H49-I49</f>
        <v>35.100000000000023</v>
      </c>
      <c r="K49" s="318">
        <v>611</v>
      </c>
      <c r="L49" s="318">
        <v>600.79999999999995</v>
      </c>
      <c r="M49" s="318">
        <f t="shared" si="3"/>
        <v>10.200000000000045</v>
      </c>
      <c r="N49" s="719">
        <v>249.4</v>
      </c>
      <c r="O49" s="719">
        <v>293.39999999999998</v>
      </c>
      <c r="P49" s="719">
        <f t="shared" si="4"/>
        <v>-43.999999999999972</v>
      </c>
      <c r="Q49" s="318">
        <v>225.2</v>
      </c>
      <c r="R49" s="318">
        <v>288.3</v>
      </c>
      <c r="S49" s="318">
        <f>+Q49-R49</f>
        <v>-63.100000000000023</v>
      </c>
      <c r="U49" s="318">
        <v>1087.4000000000001</v>
      </c>
      <c r="V49" s="318">
        <v>1081.3</v>
      </c>
      <c r="W49" s="318">
        <f t="shared" si="5"/>
        <v>6.1000000000001364</v>
      </c>
      <c r="Y49" s="50" t="s">
        <v>5</v>
      </c>
      <c r="Z49" s="28"/>
      <c r="AA49" s="719">
        <v>781.9</v>
      </c>
      <c r="AB49" s="719">
        <v>36</v>
      </c>
      <c r="AC49" s="765">
        <v>720.3</v>
      </c>
      <c r="AD49" s="765">
        <v>35</v>
      </c>
      <c r="AE49" s="740">
        <f>+AA49-AC49</f>
        <v>61.600000000000023</v>
      </c>
      <c r="AF49" s="737">
        <f>+AE49/AC49</f>
        <v>8.5519922254616174E-2</v>
      </c>
      <c r="AG49" s="405">
        <f>+AB49-AD49</f>
        <v>1</v>
      </c>
      <c r="AH49" s="1166">
        <f>+AG49/AD49</f>
        <v>2.8571428571428571E-2</v>
      </c>
    </row>
    <row r="50" spans="2:39">
      <c r="C50" s="50" t="s">
        <v>41</v>
      </c>
      <c r="D50" s="28"/>
      <c r="E50" s="318">
        <v>3436.3</v>
      </c>
      <c r="F50" s="318">
        <v>3461.4</v>
      </c>
      <c r="G50" s="318">
        <f>+E50-F50</f>
        <v>-25.099999999999909</v>
      </c>
      <c r="H50" s="719">
        <v>3637.3</v>
      </c>
      <c r="I50" s="719">
        <v>3720.1</v>
      </c>
      <c r="J50" s="719">
        <f>+H50-I50</f>
        <v>-82.799999999999727</v>
      </c>
      <c r="K50" s="318">
        <v>3043.6</v>
      </c>
      <c r="L50" s="318">
        <v>3129.8</v>
      </c>
      <c r="M50" s="318">
        <f t="shared" si="3"/>
        <v>-86.200000000000273</v>
      </c>
      <c r="N50" s="719">
        <v>2876.1</v>
      </c>
      <c r="O50" s="719">
        <v>2867</v>
      </c>
      <c r="P50" s="719">
        <f t="shared" si="4"/>
        <v>9.0999999999999091</v>
      </c>
      <c r="Q50" s="318">
        <v>2470.1999999999998</v>
      </c>
      <c r="R50" s="318">
        <v>2462.6999999999998</v>
      </c>
      <c r="S50" s="318">
        <f>+Q50-R50</f>
        <v>7.5</v>
      </c>
      <c r="U50" s="318">
        <v>1918.4</v>
      </c>
      <c r="V50" s="318">
        <v>1909</v>
      </c>
      <c r="W50" s="318">
        <f t="shared" si="5"/>
        <v>9.4000000000000909</v>
      </c>
      <c r="Y50" s="50" t="s">
        <v>41</v>
      </c>
      <c r="Z50" s="28"/>
      <c r="AA50" s="719">
        <v>3480.4</v>
      </c>
      <c r="AB50" s="719">
        <v>18</v>
      </c>
      <c r="AC50" s="765">
        <v>2442.6</v>
      </c>
      <c r="AD50" s="765">
        <v>-43</v>
      </c>
      <c r="AE50" s="740">
        <f>+AA50-AC50</f>
        <v>1037.8000000000002</v>
      </c>
      <c r="AF50" s="737">
        <f>+AE50/AC50</f>
        <v>0.42487513305494157</v>
      </c>
      <c r="AG50" s="405">
        <f>+AB50-AD50</f>
        <v>61</v>
      </c>
      <c r="AH50" s="1166">
        <f>+AG50/AD50</f>
        <v>-1.4186046511627908</v>
      </c>
    </row>
    <row r="51" spans="2:39" s="11" customFormat="1">
      <c r="C51" s="48" t="s">
        <v>19</v>
      </c>
      <c r="D51" s="123"/>
      <c r="E51" s="336">
        <f t="shared" ref="E51:G51" si="6">SUM(E47:E50)</f>
        <v>6682.8</v>
      </c>
      <c r="F51" s="336">
        <f t="shared" si="6"/>
        <v>6470.5</v>
      </c>
      <c r="G51" s="336">
        <f t="shared" si="6"/>
        <v>212.30000000000013</v>
      </c>
      <c r="H51" s="793">
        <f t="shared" ref="H51:S51" si="7">SUM(H47:H50)</f>
        <v>6614.5</v>
      </c>
      <c r="I51" s="793">
        <f t="shared" si="7"/>
        <v>6568.7000000000007</v>
      </c>
      <c r="J51" s="793">
        <f t="shared" si="7"/>
        <v>45.80000000000021</v>
      </c>
      <c r="K51" s="336">
        <f t="shared" si="7"/>
        <v>5581.6</v>
      </c>
      <c r="L51" s="336">
        <f t="shared" si="7"/>
        <v>5520.9</v>
      </c>
      <c r="M51" s="336">
        <f t="shared" si="7"/>
        <v>60.699999999999676</v>
      </c>
      <c r="N51" s="793">
        <f t="shared" si="7"/>
        <v>5157.5</v>
      </c>
      <c r="O51" s="793">
        <f t="shared" si="7"/>
        <v>5092.1000000000004</v>
      </c>
      <c r="P51" s="793">
        <f t="shared" si="7"/>
        <v>65.39999999999992</v>
      </c>
      <c r="Q51" s="336">
        <f t="shared" si="7"/>
        <v>4742.3999999999996</v>
      </c>
      <c r="R51" s="336">
        <f t="shared" si="7"/>
        <v>4868</v>
      </c>
      <c r="S51" s="336">
        <f t="shared" si="7"/>
        <v>-125.59999999999985</v>
      </c>
      <c r="U51" s="336">
        <f>SUM(U47:U50)</f>
        <v>5537.2000000000007</v>
      </c>
      <c r="V51" s="336">
        <f>SUM(V47:V50)</f>
        <v>5441.6</v>
      </c>
      <c r="W51" s="336">
        <f>SUM(W47:W50)</f>
        <v>95.600000000000136</v>
      </c>
      <c r="Y51" s="48" t="s">
        <v>19</v>
      </c>
      <c r="Z51" s="123"/>
      <c r="AA51" s="793">
        <f t="shared" ref="AA51" si="8">SUM(AA47:AA50)</f>
        <v>6468.5</v>
      </c>
      <c r="AB51" s="793">
        <f>SUM(AB47:AB50)</f>
        <v>256</v>
      </c>
      <c r="AC51" s="1331">
        <f>SUM(AC47:AC50)</f>
        <v>4672.7</v>
      </c>
      <c r="AD51" s="1331">
        <f>SUM(AD47:AD50)</f>
        <v>105</v>
      </c>
      <c r="AE51" s="1359">
        <f>SUM(AE47:AE50)</f>
        <v>1795.8000000000002</v>
      </c>
      <c r="AF51" s="1322">
        <f>+AE51/AC51</f>
        <v>0.38431741819504789</v>
      </c>
      <c r="AG51" s="994">
        <f>+AB51-AD51</f>
        <v>151</v>
      </c>
      <c r="AH51" s="993">
        <f>+AG51/AD51</f>
        <v>1.4380952380952381</v>
      </c>
    </row>
    <row r="52" spans="2:39" ht="7" customHeight="1"/>
    <row r="53" spans="2:39">
      <c r="C53" t="s">
        <v>1442</v>
      </c>
      <c r="Y53" t="s">
        <v>2185</v>
      </c>
    </row>
    <row r="54" spans="2:39">
      <c r="Y54" s="282" t="s">
        <v>2190</v>
      </c>
    </row>
    <row r="55" spans="2:39">
      <c r="Y55" s="282" t="s">
        <v>2189</v>
      </c>
    </row>
    <row r="56" spans="2:39">
      <c r="C56" t="s">
        <v>1894</v>
      </c>
    </row>
    <row r="58" spans="2:39">
      <c r="N58" s="40">
        <v>2020</v>
      </c>
    </row>
    <row r="59" spans="2:39">
      <c r="B59" s="11" t="s">
        <v>1900</v>
      </c>
      <c r="F59" s="151" t="s">
        <v>1428</v>
      </c>
      <c r="G59" s="2091" t="s">
        <v>1429</v>
      </c>
      <c r="H59" s="2092"/>
      <c r="I59" s="2089" t="s">
        <v>1137</v>
      </c>
      <c r="J59" s="2090"/>
      <c r="K59" s="1245" t="s">
        <v>1901</v>
      </c>
      <c r="N59" s="51" t="s">
        <v>1428</v>
      </c>
    </row>
    <row r="60" spans="2:39">
      <c r="B60" s="814" t="s">
        <v>1898</v>
      </c>
      <c r="E60" s="151" t="s">
        <v>959</v>
      </c>
      <c r="F60" s="971" t="s">
        <v>1336</v>
      </c>
      <c r="G60" s="1261" t="s">
        <v>134</v>
      </c>
      <c r="H60" s="1090" t="s">
        <v>19</v>
      </c>
      <c r="I60" s="1052" t="s">
        <v>134</v>
      </c>
      <c r="J60" s="863" t="s">
        <v>19</v>
      </c>
      <c r="K60" s="1622" t="s">
        <v>1899</v>
      </c>
      <c r="N60" s="1258" t="s">
        <v>1336</v>
      </c>
      <c r="Y60" s="11" t="s">
        <v>1895</v>
      </c>
    </row>
    <row r="61" spans="2:39">
      <c r="B61" s="132" t="s">
        <v>1423</v>
      </c>
      <c r="C61" s="24"/>
      <c r="D61" s="24"/>
      <c r="E61" s="334"/>
      <c r="F61" s="334"/>
      <c r="G61" s="1609"/>
      <c r="H61" s="1609"/>
      <c r="I61" s="1615"/>
      <c r="J61" s="1615"/>
      <c r="K61" s="446"/>
      <c r="N61" s="40"/>
      <c r="Y61" s="1861" t="s">
        <v>2183</v>
      </c>
      <c r="AA61" s="2129" t="s">
        <v>2187</v>
      </c>
      <c r="AB61" s="2129"/>
      <c r="AC61" s="2129"/>
      <c r="AD61" s="2129"/>
      <c r="AH61" s="2129">
        <v>2024</v>
      </c>
      <c r="AI61" s="2129"/>
      <c r="AJ61" s="2129"/>
      <c r="AL61" t="s">
        <v>2186</v>
      </c>
    </row>
    <row r="62" spans="2:39">
      <c r="B62" s="73"/>
      <c r="C62" t="s">
        <v>1444</v>
      </c>
      <c r="E62" s="58">
        <v>49.4</v>
      </c>
      <c r="F62" s="1626">
        <v>0.84</v>
      </c>
      <c r="G62" s="1610">
        <v>13.54</v>
      </c>
      <c r="H62" s="1611">
        <v>669</v>
      </c>
      <c r="I62" s="1616">
        <v>13.54</v>
      </c>
      <c r="J62" s="1617">
        <v>669</v>
      </c>
      <c r="K62" s="1623">
        <f>+H62-J62</f>
        <v>0</v>
      </c>
      <c r="N62" s="70">
        <v>0.4</v>
      </c>
      <c r="AA62" s="39" t="s">
        <v>761</v>
      </c>
      <c r="AB62" s="39" t="s">
        <v>778</v>
      </c>
      <c r="AC62" s="39" t="s">
        <v>779</v>
      </c>
      <c r="AD62" s="829" t="s">
        <v>1308</v>
      </c>
      <c r="AH62" s="39" t="s">
        <v>779</v>
      </c>
      <c r="AI62" s="39" t="s">
        <v>778</v>
      </c>
      <c r="AJ62" s="39" t="s">
        <v>761</v>
      </c>
      <c r="AL62">
        <v>2025</v>
      </c>
      <c r="AM62">
        <v>2024</v>
      </c>
    </row>
    <row r="63" spans="2:39">
      <c r="B63" s="73"/>
      <c r="C63" t="s">
        <v>1624</v>
      </c>
      <c r="E63" s="58"/>
      <c r="F63" s="1626">
        <v>1</v>
      </c>
      <c r="G63" s="1610"/>
      <c r="H63" s="1611">
        <v>541</v>
      </c>
      <c r="I63" s="1616"/>
      <c r="J63" s="1617">
        <v>541</v>
      </c>
      <c r="K63" s="1623">
        <f>+H63-J63</f>
        <v>0</v>
      </c>
      <c r="N63" s="70"/>
      <c r="Y63" s="50" t="s">
        <v>1422</v>
      </c>
      <c r="Z63" s="28"/>
      <c r="AA63" s="318">
        <v>29.1</v>
      </c>
      <c r="AB63" s="318">
        <v>62.5</v>
      </c>
      <c r="AC63" s="318">
        <v>77.7</v>
      </c>
      <c r="AD63" s="719">
        <f>+AA63+AB63+AC63</f>
        <v>169.3</v>
      </c>
      <c r="AH63" s="318">
        <v>41.1</v>
      </c>
      <c r="AI63" s="318">
        <v>48.4</v>
      </c>
      <c r="AJ63" s="318">
        <v>-1.5</v>
      </c>
      <c r="AL63" s="318">
        <f>+AC63+AB63+AA63</f>
        <v>169.29999999999998</v>
      </c>
      <c r="AM63" s="318">
        <f>+AH63+AI63+AJ63</f>
        <v>88</v>
      </c>
    </row>
    <row r="64" spans="2:39">
      <c r="B64" s="73"/>
      <c r="C64" t="s">
        <v>1424</v>
      </c>
      <c r="E64" s="58"/>
      <c r="F64" s="1626">
        <v>0.88500000000000001</v>
      </c>
      <c r="G64" s="1610"/>
      <c r="H64" s="1611"/>
      <c r="I64" s="1616"/>
      <c r="J64" s="1617"/>
      <c r="K64" s="606"/>
      <c r="N64" s="70">
        <v>0.71</v>
      </c>
      <c r="Y64" s="50" t="s">
        <v>3</v>
      </c>
      <c r="Z64" s="28"/>
      <c r="AA64" s="318">
        <v>13.1</v>
      </c>
      <c r="AB64" s="318">
        <v>10.9</v>
      </c>
      <c r="AC64" s="318">
        <v>8.9</v>
      </c>
      <c r="AD64" s="719">
        <f t="shared" ref="AD64:AD66" si="9">+AA64+AB64+AC64</f>
        <v>32.9</v>
      </c>
      <c r="AH64" s="318">
        <v>7</v>
      </c>
      <c r="AI64" s="318">
        <v>11.5</v>
      </c>
      <c r="AJ64" s="318">
        <v>6.3</v>
      </c>
      <c r="AL64" s="318">
        <f>+AC64+AB64+AA64</f>
        <v>32.9</v>
      </c>
      <c r="AM64" s="318">
        <f t="shared" ref="AM64:AM66" si="10">+AH64+AI64+AJ64</f>
        <v>24.8</v>
      </c>
    </row>
    <row r="65" spans="2:39">
      <c r="B65" s="48" t="s">
        <v>1907</v>
      </c>
      <c r="C65" s="63"/>
      <c r="D65" s="63"/>
      <c r="E65" s="26">
        <v>57.6</v>
      </c>
      <c r="F65" s="1627">
        <v>0.43</v>
      </c>
      <c r="G65" s="1612">
        <v>15.82</v>
      </c>
      <c r="H65" s="719">
        <v>911</v>
      </c>
      <c r="I65" s="1618">
        <v>11.79</v>
      </c>
      <c r="J65" s="740">
        <v>679</v>
      </c>
      <c r="K65" s="1624">
        <f>+H65-J65</f>
        <v>232</v>
      </c>
      <c r="N65" s="490">
        <v>0.41899999999999998</v>
      </c>
      <c r="Y65" s="50" t="s">
        <v>5</v>
      </c>
      <c r="Z65" s="28"/>
      <c r="AA65" s="318">
        <v>10.3</v>
      </c>
      <c r="AB65" s="318">
        <v>13.6</v>
      </c>
      <c r="AC65" s="318">
        <v>12.1</v>
      </c>
      <c r="AD65" s="719">
        <f t="shared" si="9"/>
        <v>36</v>
      </c>
      <c r="AH65" s="318">
        <v>12.4</v>
      </c>
      <c r="AI65" s="318">
        <v>13.8</v>
      </c>
      <c r="AJ65" s="318">
        <v>9.1</v>
      </c>
      <c r="AL65" s="318">
        <f>+AC65+AB65+AA65</f>
        <v>36</v>
      </c>
      <c r="AM65" s="318">
        <f t="shared" si="10"/>
        <v>35.300000000000004</v>
      </c>
    </row>
    <row r="66" spans="2:39">
      <c r="B66" s="132" t="s">
        <v>5</v>
      </c>
      <c r="C66" s="24"/>
      <c r="D66" s="24"/>
      <c r="E66" s="14">
        <v>300.3</v>
      </c>
      <c r="F66" s="1628">
        <v>0.64600000000000002</v>
      </c>
      <c r="G66" s="1613">
        <v>2.29</v>
      </c>
      <c r="H66" s="1614">
        <v>688</v>
      </c>
      <c r="I66" s="1619">
        <v>0.73</v>
      </c>
      <c r="J66" s="1620">
        <v>220</v>
      </c>
      <c r="K66" s="1623">
        <f>+H66-J66</f>
        <v>468</v>
      </c>
      <c r="N66" s="1257">
        <v>0.67</v>
      </c>
      <c r="Y66" s="50" t="s">
        <v>41</v>
      </c>
      <c r="Z66" s="28"/>
      <c r="AA66" s="318">
        <v>-110.8</v>
      </c>
      <c r="AB66" s="318">
        <v>32.9</v>
      </c>
      <c r="AC66" s="318">
        <v>95.9</v>
      </c>
      <c r="AD66" s="719">
        <f t="shared" si="9"/>
        <v>18</v>
      </c>
      <c r="AH66" s="318">
        <v>-1.5</v>
      </c>
      <c r="AI66" s="318">
        <v>6.3</v>
      </c>
      <c r="AJ66" s="318">
        <v>0</v>
      </c>
      <c r="AL66" s="318">
        <f>+AC66+AB66+AA66</f>
        <v>18.000000000000014</v>
      </c>
      <c r="AM66" s="318">
        <f t="shared" si="10"/>
        <v>4.8</v>
      </c>
    </row>
    <row r="67" spans="2:39">
      <c r="B67" s="132" t="s">
        <v>41</v>
      </c>
      <c r="C67" s="24"/>
      <c r="D67" s="24"/>
      <c r="E67" s="14"/>
      <c r="F67" s="1628"/>
      <c r="G67" s="1613"/>
      <c r="H67" s="1614"/>
      <c r="I67" s="1619"/>
      <c r="J67" s="1620"/>
      <c r="K67" s="446"/>
      <c r="N67" s="1257"/>
      <c r="Y67" t="s">
        <v>2185</v>
      </c>
    </row>
    <row r="68" spans="2:39">
      <c r="B68" s="73"/>
      <c r="C68" t="s">
        <v>172</v>
      </c>
      <c r="E68" s="58">
        <v>339.4</v>
      </c>
      <c r="F68" s="1626">
        <v>0.85199999999999998</v>
      </c>
      <c r="G68" s="1610">
        <v>1.38</v>
      </c>
      <c r="H68" s="1611">
        <v>470</v>
      </c>
      <c r="I68" s="1616">
        <v>1.38</v>
      </c>
      <c r="J68" s="1617">
        <v>470</v>
      </c>
      <c r="K68" s="1623">
        <f>+H68-J68</f>
        <v>0</v>
      </c>
      <c r="N68" s="82" t="s">
        <v>40</v>
      </c>
      <c r="Y68" s="282" t="s">
        <v>2191</v>
      </c>
    </row>
    <row r="69" spans="2:39">
      <c r="B69" s="73"/>
      <c r="C69" t="s">
        <v>105</v>
      </c>
      <c r="E69" s="58"/>
      <c r="F69" s="1626">
        <v>1</v>
      </c>
      <c r="G69" s="1610"/>
      <c r="H69" s="1611">
        <v>426</v>
      </c>
      <c r="I69" s="1616"/>
      <c r="J69" s="1617">
        <v>426</v>
      </c>
      <c r="K69" s="1623">
        <f>+H69-J69</f>
        <v>0</v>
      </c>
      <c r="N69" s="82"/>
      <c r="Y69" s="282" t="s">
        <v>2192</v>
      </c>
    </row>
    <row r="70" spans="2:39">
      <c r="B70" s="73"/>
      <c r="C70" t="s">
        <v>1135</v>
      </c>
      <c r="E70" s="58"/>
      <c r="F70" s="1626">
        <v>0.93</v>
      </c>
      <c r="G70" s="1610"/>
      <c r="H70" s="1611">
        <v>297</v>
      </c>
      <c r="I70" s="1616"/>
      <c r="J70" s="1617">
        <v>297</v>
      </c>
      <c r="K70" s="1623">
        <f>+H70-J70</f>
        <v>0</v>
      </c>
      <c r="N70" s="82"/>
    </row>
    <row r="71" spans="2:39">
      <c r="B71" s="73"/>
      <c r="C71" t="s">
        <v>1426</v>
      </c>
      <c r="E71" s="58"/>
      <c r="F71" s="1626">
        <v>0.59599999999999997</v>
      </c>
      <c r="G71" s="1610"/>
      <c r="H71" s="1611"/>
      <c r="I71" s="1616"/>
      <c r="J71" s="1617"/>
      <c r="K71" s="1623"/>
      <c r="N71" s="70">
        <v>0.57999999999999996</v>
      </c>
    </row>
    <row r="72" spans="2:39">
      <c r="B72" s="73"/>
      <c r="C72" t="s">
        <v>1427</v>
      </c>
      <c r="E72" s="58">
        <v>31.4</v>
      </c>
      <c r="F72" s="1626">
        <v>0.49299999999999999</v>
      </c>
      <c r="G72" s="1610">
        <v>5.42</v>
      </c>
      <c r="H72" s="1611">
        <v>170</v>
      </c>
      <c r="I72" s="1616">
        <v>3.08</v>
      </c>
      <c r="J72" s="1617">
        <v>97</v>
      </c>
      <c r="K72" s="1623">
        <f>+H72-J72</f>
        <v>73</v>
      </c>
      <c r="N72" s="70">
        <v>0.49</v>
      </c>
    </row>
    <row r="73" spans="2:39">
      <c r="B73" s="73"/>
      <c r="C73" t="s">
        <v>65</v>
      </c>
      <c r="E73" s="58">
        <v>25.3</v>
      </c>
      <c r="F73" s="1626">
        <v>0.44900000000000001</v>
      </c>
      <c r="G73" s="1610">
        <v>0.4</v>
      </c>
      <c r="H73" s="1611">
        <v>10</v>
      </c>
      <c r="I73" s="1616">
        <v>3.23</v>
      </c>
      <c r="J73" s="1617">
        <v>82</v>
      </c>
      <c r="K73" s="1625">
        <f>+H73-J73</f>
        <v>-72</v>
      </c>
      <c r="N73" s="70"/>
    </row>
    <row r="74" spans="2:39">
      <c r="B74" s="48" t="s">
        <v>41</v>
      </c>
      <c r="C74" s="63"/>
      <c r="D74" s="63"/>
      <c r="E74" s="50"/>
      <c r="F74" s="1255"/>
      <c r="G74" s="1612"/>
      <c r="H74" s="719">
        <v>18</v>
      </c>
      <c r="I74" s="1618"/>
      <c r="J74" s="740">
        <v>18</v>
      </c>
      <c r="K74" s="978"/>
      <c r="N74" s="1256"/>
    </row>
    <row r="75" spans="2:39" s="11" customFormat="1">
      <c r="B75" s="48" t="s">
        <v>1902</v>
      </c>
      <c r="C75" s="122"/>
      <c r="D75" s="122"/>
      <c r="E75" s="122"/>
      <c r="F75" s="122"/>
      <c r="G75" s="799"/>
      <c r="H75" s="793">
        <f>SUM(H62:H74)</f>
        <v>4200</v>
      </c>
      <c r="I75" s="1621"/>
      <c r="J75" s="1359">
        <f>SUM(J62:J74)</f>
        <v>3499</v>
      </c>
      <c r="K75" s="1331">
        <f>SUM(K62:K73)</f>
        <v>701</v>
      </c>
    </row>
    <row r="76" spans="2:39" ht="8" customHeight="1"/>
    <row r="77" spans="2:39">
      <c r="B77" t="s">
        <v>1445</v>
      </c>
    </row>
    <row r="78" spans="2:39">
      <c r="B78" t="s">
        <v>1908</v>
      </c>
    </row>
    <row r="80" spans="2:39">
      <c r="B80" t="s">
        <v>1443</v>
      </c>
    </row>
    <row r="82" spans="2:12">
      <c r="C82" t="s">
        <v>1904</v>
      </c>
    </row>
    <row r="85" spans="2:12">
      <c r="B85" s="48" t="s">
        <v>1671</v>
      </c>
      <c r="C85" s="63"/>
      <c r="D85" s="63"/>
      <c r="E85" s="63"/>
      <c r="F85" s="63"/>
      <c r="G85" s="122" t="s">
        <v>1439</v>
      </c>
      <c r="H85" s="63"/>
      <c r="I85" s="63"/>
      <c r="J85" s="63"/>
      <c r="K85" s="63"/>
      <c r="L85" s="28"/>
    </row>
    <row r="86" spans="2:12">
      <c r="B86" s="132" t="s">
        <v>1423</v>
      </c>
      <c r="C86" s="24"/>
      <c r="D86" s="24"/>
      <c r="E86" s="24"/>
      <c r="F86" s="24"/>
      <c r="G86" s="24"/>
      <c r="H86" s="24"/>
      <c r="I86" s="24"/>
      <c r="J86" s="24"/>
      <c r="K86" s="24"/>
      <c r="L86" s="18"/>
    </row>
    <row r="87" spans="2:12">
      <c r="B87" s="73"/>
      <c r="C87" t="s">
        <v>1</v>
      </c>
      <c r="E87" t="s">
        <v>1430</v>
      </c>
      <c r="L87" s="60"/>
    </row>
    <row r="88" spans="2:12">
      <c r="B88" s="73"/>
      <c r="C88" t="s">
        <v>1624</v>
      </c>
      <c r="E88" t="s">
        <v>1903</v>
      </c>
      <c r="L88" s="60"/>
    </row>
    <row r="89" spans="2:12">
      <c r="B89" s="73"/>
      <c r="C89" t="s">
        <v>1424</v>
      </c>
      <c r="E89" t="s">
        <v>1448</v>
      </c>
      <c r="L89" s="60"/>
    </row>
    <row r="90" spans="2:12">
      <c r="B90" s="79"/>
      <c r="C90" s="25" t="s">
        <v>41</v>
      </c>
      <c r="D90" s="25"/>
      <c r="E90" s="25"/>
      <c r="F90" s="25"/>
      <c r="G90" s="25"/>
      <c r="H90" s="25"/>
      <c r="I90" s="25"/>
      <c r="J90" s="25"/>
      <c r="K90" s="25"/>
      <c r="L90" s="23"/>
    </row>
    <row r="91" spans="2:12">
      <c r="B91" s="48" t="s">
        <v>3</v>
      </c>
      <c r="C91" s="63"/>
      <c r="D91" s="63"/>
      <c r="E91" s="63" t="s">
        <v>1431</v>
      </c>
      <c r="F91" s="63"/>
      <c r="G91" s="63"/>
      <c r="H91" s="63"/>
      <c r="I91" s="63"/>
      <c r="J91" s="63"/>
      <c r="K91" s="63"/>
      <c r="L91" s="28"/>
    </row>
    <row r="92" spans="2:12">
      <c r="B92" s="132" t="s">
        <v>5</v>
      </c>
      <c r="C92" s="24"/>
      <c r="D92" s="24"/>
      <c r="E92" s="24"/>
      <c r="F92" s="24"/>
      <c r="G92" s="24"/>
      <c r="H92" s="24"/>
      <c r="I92" s="24"/>
      <c r="J92" s="24"/>
      <c r="K92" s="24"/>
      <c r="L92" s="18"/>
    </row>
    <row r="93" spans="2:12">
      <c r="B93" s="73"/>
      <c r="C93" t="s">
        <v>5</v>
      </c>
      <c r="E93" t="s">
        <v>1432</v>
      </c>
      <c r="L93" s="60"/>
    </row>
    <row r="94" spans="2:12">
      <c r="B94" s="79"/>
      <c r="C94" s="25" t="s">
        <v>1425</v>
      </c>
      <c r="D94" s="25"/>
      <c r="E94" s="25" t="s">
        <v>1433</v>
      </c>
      <c r="F94" s="25"/>
      <c r="G94" s="25"/>
      <c r="H94" s="25"/>
      <c r="I94" s="25"/>
      <c r="J94" s="25"/>
      <c r="K94" s="25"/>
      <c r="L94" s="23"/>
    </row>
    <row r="95" spans="2:12">
      <c r="B95" s="132" t="s">
        <v>41</v>
      </c>
      <c r="C95" s="24"/>
      <c r="D95" s="24"/>
      <c r="E95" s="24"/>
      <c r="F95" s="24"/>
      <c r="G95" s="24"/>
      <c r="H95" s="24"/>
      <c r="I95" s="24"/>
      <c r="J95" s="24"/>
      <c r="K95" s="24"/>
      <c r="L95" s="18"/>
    </row>
    <row r="96" spans="2:12">
      <c r="B96" s="73"/>
      <c r="C96" t="s">
        <v>172</v>
      </c>
      <c r="E96" t="s">
        <v>1438</v>
      </c>
      <c r="L96" s="60"/>
    </row>
    <row r="97" spans="2:12">
      <c r="B97" s="73"/>
      <c r="C97" t="s">
        <v>105</v>
      </c>
      <c r="E97" t="s">
        <v>1905</v>
      </c>
      <c r="L97" s="60"/>
    </row>
    <row r="98" spans="2:12">
      <c r="B98" s="73"/>
      <c r="C98" t="s">
        <v>1135</v>
      </c>
      <c r="E98" t="s">
        <v>1906</v>
      </c>
      <c r="L98" s="60"/>
    </row>
    <row r="99" spans="2:12">
      <c r="B99" s="73"/>
      <c r="C99" t="s">
        <v>1426</v>
      </c>
      <c r="E99" t="s">
        <v>1434</v>
      </c>
      <c r="L99" s="60"/>
    </row>
    <row r="100" spans="2:12">
      <c r="B100" s="73"/>
      <c r="C100" t="s">
        <v>1427</v>
      </c>
      <c r="E100" t="s">
        <v>1435</v>
      </c>
      <c r="L100" s="60"/>
    </row>
    <row r="101" spans="2:12">
      <c r="B101" s="73"/>
      <c r="C101" t="s">
        <v>65</v>
      </c>
      <c r="E101" t="s">
        <v>1436</v>
      </c>
      <c r="L101" s="60"/>
    </row>
    <row r="102" spans="2:12">
      <c r="B102" s="79"/>
      <c r="C102" s="25" t="s">
        <v>57</v>
      </c>
      <c r="D102" s="25"/>
      <c r="E102" s="25" t="s">
        <v>1437</v>
      </c>
      <c r="F102" s="25"/>
      <c r="G102" s="25"/>
      <c r="H102" s="25"/>
      <c r="I102" s="25"/>
      <c r="J102" s="25"/>
      <c r="K102" s="25"/>
      <c r="L102" s="23"/>
    </row>
    <row r="103" spans="2:12">
      <c r="B103" s="1252"/>
    </row>
    <row r="105" spans="2:12">
      <c r="B105" s="1253"/>
    </row>
    <row r="106" spans="2:12">
      <c r="B106" s="1254"/>
      <c r="D106" t="s">
        <v>1914</v>
      </c>
    </row>
    <row r="107" spans="2:12">
      <c r="B107" s="1254"/>
      <c r="H107" t="s">
        <v>1918</v>
      </c>
    </row>
    <row r="108" spans="2:12">
      <c r="B108" s="1254"/>
      <c r="D108">
        <v>2021</v>
      </c>
      <c r="E108" t="s">
        <v>1915</v>
      </c>
      <c r="H108" s="1629" t="s">
        <v>1919</v>
      </c>
    </row>
    <row r="109" spans="2:12">
      <c r="E109" t="s">
        <v>1916</v>
      </c>
      <c r="H109" s="282" t="s">
        <v>1920</v>
      </c>
    </row>
    <row r="110" spans="2:12">
      <c r="B110" s="1254"/>
      <c r="E110" t="s">
        <v>64</v>
      </c>
      <c r="H110" s="282" t="s">
        <v>1921</v>
      </c>
    </row>
    <row r="111" spans="2:12">
      <c r="D111">
        <v>2022</v>
      </c>
      <c r="E111" t="s">
        <v>1917</v>
      </c>
      <c r="H111" s="282" t="s">
        <v>1922</v>
      </c>
    </row>
    <row r="113" spans="4:10">
      <c r="H113" t="s">
        <v>1396</v>
      </c>
    </row>
    <row r="114" spans="4:10">
      <c r="D114">
        <v>2022</v>
      </c>
      <c r="E114" t="s">
        <v>172</v>
      </c>
      <c r="H114" s="282" t="s">
        <v>1926</v>
      </c>
      <c r="I114" s="152">
        <v>0.78</v>
      </c>
      <c r="J114" s="282" t="s">
        <v>1929</v>
      </c>
    </row>
    <row r="115" spans="4:10">
      <c r="E115" t="s">
        <v>1927</v>
      </c>
    </row>
    <row r="116" spans="4:10">
      <c r="D116">
        <v>2024</v>
      </c>
      <c r="E116" t="s">
        <v>1624</v>
      </c>
      <c r="H116" s="282" t="s">
        <v>1923</v>
      </c>
      <c r="I116" s="152">
        <v>1</v>
      </c>
    </row>
    <row r="117" spans="4:10">
      <c r="E117" t="s">
        <v>1135</v>
      </c>
      <c r="H117" s="282" t="s">
        <v>1924</v>
      </c>
      <c r="I117" s="152">
        <v>0.93</v>
      </c>
      <c r="J117" t="s">
        <v>1929</v>
      </c>
    </row>
    <row r="118" spans="4:10">
      <c r="E118" t="s">
        <v>105</v>
      </c>
      <c r="H118" s="282" t="s">
        <v>1925</v>
      </c>
      <c r="I118" s="152">
        <v>1</v>
      </c>
      <c r="J118" t="s">
        <v>1928</v>
      </c>
    </row>
  </sheetData>
  <mergeCells count="16">
    <mergeCell ref="E29:G29"/>
    <mergeCell ref="F30:G30"/>
    <mergeCell ref="AH61:AJ61"/>
    <mergeCell ref="AA61:AD61"/>
    <mergeCell ref="N45:O45"/>
    <mergeCell ref="Q45:R45"/>
    <mergeCell ref="E45:F45"/>
    <mergeCell ref="G59:H59"/>
    <mergeCell ref="I59:J59"/>
    <mergeCell ref="H45:I45"/>
    <mergeCell ref="K45:L45"/>
    <mergeCell ref="AA44:AB44"/>
    <mergeCell ref="AC44:AD44"/>
    <mergeCell ref="AE45:AF45"/>
    <mergeCell ref="AG44:AH44"/>
    <mergeCell ref="AG45:AH45"/>
  </mergeCells>
  <phoneticPr fontId="16" type="noConversion"/>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16</vt:i4>
      </vt:variant>
      <vt:variant>
        <vt:lpstr>Named Ranges</vt:lpstr>
      </vt:variant>
      <vt:variant>
        <vt:i4>7</vt:i4>
      </vt:variant>
    </vt:vector>
  </HeadingPairs>
  <TitlesOfParts>
    <vt:vector size="23" baseType="lpstr">
      <vt:lpstr>FFH - 26</vt:lpstr>
      <vt:lpstr>Size 2025YE</vt:lpstr>
      <vt:lpstr>Moves</vt:lpstr>
      <vt:lpstr>Earn Est</vt:lpstr>
      <vt:lpstr>Premiums</vt:lpstr>
      <vt:lpstr>Underwriting</vt:lpstr>
      <vt:lpstr>Interest</vt:lpstr>
      <vt:lpstr>Associates</vt:lpstr>
      <vt:lpstr>Consol</vt:lpstr>
      <vt:lpstr>Investments</vt:lpstr>
      <vt:lpstr>IFRS 17</vt:lpstr>
      <vt:lpstr>Shares</vt:lpstr>
      <vt:lpstr>FV CV</vt:lpstr>
      <vt:lpstr>Float</vt:lpstr>
      <vt:lpstr>13yr View</vt:lpstr>
      <vt:lpstr>Odyssey Filing</vt:lpstr>
      <vt:lpstr>Associates!Print_Area</vt:lpstr>
      <vt:lpstr>'Earn Est'!Print_Area</vt:lpstr>
      <vt:lpstr>'FFH - 26'!Print_Area</vt:lpstr>
      <vt:lpstr>'FV CV'!Print_Area</vt:lpstr>
      <vt:lpstr>Investments!Print_Area</vt:lpstr>
      <vt:lpstr>Moves!Print_Area</vt:lpstr>
      <vt:lpstr>Shares!Print_Area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2024-11-18T21:10:12Z</cp:lastPrinted>
  <dcterms:created xsi:type="dcterms:W3CDTF">2019-11-04T06:09:26Z</dcterms:created>
  <dcterms:modified xsi:type="dcterms:W3CDTF">2026-05-31T19:23:40Z</dcterms:modified>
</cp:coreProperties>
</file>